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1\Normal\"/>
    </mc:Choice>
  </mc:AlternateContent>
  <xr:revisionPtr revIDLastSave="0" documentId="13_ncr:1_{8CF97C6A-D978-4B69-A1C1-EFC9CAA5F218}" xr6:coauthVersionLast="47" xr6:coauthVersionMax="47" xr10:uidLastSave="{00000000-0000-0000-0000-000000000000}"/>
  <bookViews>
    <workbookView xWindow="-108" yWindow="-108" windowWidth="23256" windowHeight="14856" xr2:uid="{00000000-000D-0000-FFFF-FFFF00000000}"/>
  </bookViews>
  <sheets>
    <sheet name="2023" sheetId="15" r:id="rId1"/>
    <sheet name="2024" sheetId="16" r:id="rId2"/>
    <sheet name="2025" sheetId="17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'2023'!$B$27</definedName>
    <definedName name="SOLDE" localSheetId="1">'2024'!$B$27</definedName>
    <definedName name="SOLDE" localSheetId="2">'2025'!$B$27</definedName>
    <definedName name="SORTIES" localSheetId="0">'2023'!$B$21</definedName>
    <definedName name="SORTIES" localSheetId="1">'2024'!$B$21</definedName>
    <definedName name="SORTIES" localSheetId="2">'2025'!$B$21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 localSheetId="2">'2025'!$B$23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 localSheetId="2">'2025'!$B$22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'2025'!$B$19</definedName>
    <definedName name="TOTAL_ENTREES">#REF!</definedName>
    <definedName name="TOTAL_SORTIES" localSheetId="0">'2023'!$B$25</definedName>
    <definedName name="TOTAL_SORTIES" localSheetId="1">'2024'!$B$25</definedName>
    <definedName name="TOTAL_SORTIES" localSheetId="2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N25" i="17"/>
  <c r="M25" i="17"/>
  <c r="G25" i="17"/>
  <c r="F25" i="17"/>
  <c r="E25" i="17"/>
  <c r="P24" i="17"/>
  <c r="L25" i="17"/>
  <c r="K25" i="17"/>
  <c r="J25" i="17"/>
  <c r="I25" i="17"/>
  <c r="H25" i="17"/>
  <c r="D25" i="17"/>
  <c r="P22" i="17"/>
  <c r="I19" i="17"/>
  <c r="I27" i="17" s="1"/>
  <c r="P18" i="17"/>
  <c r="N19" i="17"/>
  <c r="M19" i="17"/>
  <c r="M27" i="17" s="1"/>
  <c r="L19" i="17"/>
  <c r="K19" i="17"/>
  <c r="J19" i="17"/>
  <c r="H19" i="17"/>
  <c r="H27" i="17" s="1"/>
  <c r="G19" i="17"/>
  <c r="G27" i="17" s="1"/>
  <c r="F19" i="17"/>
  <c r="E19" i="17"/>
  <c r="D19" i="17"/>
  <c r="P14" i="17"/>
  <c r="P13" i="17"/>
  <c r="P12" i="17"/>
  <c r="P11" i="17"/>
  <c r="N8" i="17"/>
  <c r="M8" i="17"/>
  <c r="L8" i="17"/>
  <c r="K8" i="17"/>
  <c r="J8" i="17"/>
  <c r="I8" i="17"/>
  <c r="H8" i="17"/>
  <c r="G8" i="17"/>
  <c r="F8" i="17"/>
  <c r="E8" i="17"/>
  <c r="D8" i="17"/>
  <c r="C8" i="17"/>
  <c r="P7" i="17"/>
  <c r="P6" i="17"/>
  <c r="H25" i="16"/>
  <c r="P24" i="16"/>
  <c r="N23" i="16"/>
  <c r="N25" i="16" s="1"/>
  <c r="M23" i="16"/>
  <c r="M25" i="16" s="1"/>
  <c r="L23" i="16"/>
  <c r="L25" i="16" s="1"/>
  <c r="K23" i="16"/>
  <c r="K25" i="16" s="1"/>
  <c r="J23" i="16"/>
  <c r="J25" i="16" s="1"/>
  <c r="I23" i="16"/>
  <c r="I25" i="16" s="1"/>
  <c r="H23" i="16"/>
  <c r="G23" i="16"/>
  <c r="G25" i="16" s="1"/>
  <c r="F23" i="16"/>
  <c r="F25" i="16" s="1"/>
  <c r="E23" i="16"/>
  <c r="E25" i="16" s="1"/>
  <c r="D23" i="16"/>
  <c r="D25" i="16" s="1"/>
  <c r="C23" i="16"/>
  <c r="C25" i="16" s="1"/>
  <c r="P22" i="16"/>
  <c r="D19" i="16"/>
  <c r="P18" i="16"/>
  <c r="N17" i="16"/>
  <c r="N19" i="16" s="1"/>
  <c r="N27" i="16" s="1"/>
  <c r="M17" i="16"/>
  <c r="M19" i="16" s="1"/>
  <c r="L17" i="16"/>
  <c r="L19" i="16" s="1"/>
  <c r="K17" i="16"/>
  <c r="K19" i="16" s="1"/>
  <c r="J17" i="16"/>
  <c r="J19" i="16" s="1"/>
  <c r="I17" i="16"/>
  <c r="I19" i="16" s="1"/>
  <c r="I27" i="16" s="1"/>
  <c r="H17" i="16"/>
  <c r="H19" i="16" s="1"/>
  <c r="H27" i="16" s="1"/>
  <c r="G17" i="16"/>
  <c r="G19" i="16" s="1"/>
  <c r="F17" i="16"/>
  <c r="F19" i="16" s="1"/>
  <c r="F27" i="16" s="1"/>
  <c r="E17" i="16"/>
  <c r="E19" i="16" s="1"/>
  <c r="D17" i="16"/>
  <c r="C17" i="16"/>
  <c r="P14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L25" i="15"/>
  <c r="D25" i="15"/>
  <c r="E24" i="15"/>
  <c r="P24" i="15" s="1"/>
  <c r="N23" i="15"/>
  <c r="N25" i="15" s="1"/>
  <c r="M23" i="15"/>
  <c r="M25" i="15" s="1"/>
  <c r="L23" i="15"/>
  <c r="K23" i="15"/>
  <c r="K25" i="15" s="1"/>
  <c r="J23" i="15"/>
  <c r="J25" i="15" s="1"/>
  <c r="I23" i="15"/>
  <c r="I25" i="15" s="1"/>
  <c r="H23" i="15"/>
  <c r="H25" i="15" s="1"/>
  <c r="G23" i="15"/>
  <c r="G25" i="15" s="1"/>
  <c r="F23" i="15"/>
  <c r="F25" i="15" s="1"/>
  <c r="E23" i="15"/>
  <c r="E25" i="15" s="1"/>
  <c r="D23" i="15"/>
  <c r="C23" i="15"/>
  <c r="C25" i="15" s="1"/>
  <c r="P22" i="15"/>
  <c r="L19" i="15"/>
  <c r="D19" i="15"/>
  <c r="D27" i="15" s="1"/>
  <c r="P18" i="15"/>
  <c r="N17" i="15"/>
  <c r="N19" i="15" s="1"/>
  <c r="M17" i="15"/>
  <c r="M19" i="15" s="1"/>
  <c r="L17" i="15"/>
  <c r="K17" i="15"/>
  <c r="K19" i="15" s="1"/>
  <c r="J17" i="15"/>
  <c r="J19" i="15" s="1"/>
  <c r="J27" i="15" s="1"/>
  <c r="I17" i="15"/>
  <c r="I19" i="15" s="1"/>
  <c r="H17" i="15"/>
  <c r="H19" i="15" s="1"/>
  <c r="G17" i="15"/>
  <c r="G19" i="15" s="1"/>
  <c r="F17" i="15"/>
  <c r="F19" i="15" s="1"/>
  <c r="E17" i="15"/>
  <c r="E19" i="15" s="1"/>
  <c r="D17" i="15"/>
  <c r="C17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I27" i="15" l="1"/>
  <c r="G27" i="15"/>
  <c r="P8" i="16"/>
  <c r="P17" i="16"/>
  <c r="K27" i="16"/>
  <c r="J27" i="17"/>
  <c r="K27" i="15"/>
  <c r="L27" i="17"/>
  <c r="P8" i="15"/>
  <c r="M27" i="15"/>
  <c r="P17" i="15"/>
  <c r="L27" i="15"/>
  <c r="E27" i="15"/>
  <c r="P23" i="15"/>
  <c r="F27" i="15"/>
  <c r="N27" i="15"/>
  <c r="G27" i="16"/>
  <c r="N27" i="17"/>
  <c r="K27" i="17"/>
  <c r="D27" i="17"/>
  <c r="E27" i="17"/>
  <c r="F27" i="17"/>
  <c r="P8" i="17"/>
  <c r="E27" i="16"/>
  <c r="M27" i="16"/>
  <c r="P25" i="16"/>
  <c r="D27" i="16"/>
  <c r="P25" i="15"/>
  <c r="H27" i="15"/>
  <c r="J27" i="16"/>
  <c r="L27" i="16"/>
  <c r="C19" i="15"/>
  <c r="C19" i="16"/>
  <c r="P23" i="16"/>
  <c r="P19" i="16" l="1"/>
  <c r="C27" i="16"/>
  <c r="P27" i="16" s="1"/>
  <c r="P19" i="15"/>
  <c r="C27" i="15"/>
  <c r="P27" i="15" s="1"/>
  <c r="C3" i="13" l="1"/>
  <c r="C23" i="17"/>
  <c r="C17" i="17"/>
  <c r="C19" i="17" l="1"/>
  <c r="P17" i="17"/>
  <c r="C25" i="17"/>
  <c r="P25" i="17" s="1"/>
  <c r="P23" i="17"/>
  <c r="C27" i="17" l="1"/>
  <c r="P27" i="17" s="1"/>
  <c r="P19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nouha</author>
  </authors>
  <commentList>
    <comment ref="E2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nouha:</t>
        </r>
        <r>
          <rPr>
            <sz val="9"/>
            <color indexed="81"/>
            <rFont val="Tahoma"/>
            <family val="2"/>
          </rPr>
          <t xml:space="preserve">
Déduction de sa cagnote</t>
        </r>
      </text>
    </comment>
  </commentList>
</comments>
</file>

<file path=xl/sharedStrings.xml><?xml version="1.0" encoding="utf-8"?>
<sst xmlns="http://schemas.openxmlformats.org/spreadsheetml/2006/main" count="110" uniqueCount="41">
  <si>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</si>
  <si>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</si>
  <si>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</si>
  <si>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</si>
  <si>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</si>
  <si>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</si>
  <si>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</si>
  <si>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</si>
  <si>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</si>
  <si>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</si>
  <si>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</si>
  <si>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</si>
  <si>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</si>
  <si>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</si>
  <si>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</si>
  <si>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</si>
  <si>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</si>
  <si>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</si>
  <si>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</si>
  <si>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</si>
  <si>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</si>
  <si>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</si>
  <si>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</si>
  <si>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</si>
  <si>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</si>
  <si>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</si>
  <si>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</si>
  <si>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</si>
  <si>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</si>
  <si>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</si>
  <si>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</si>
  <si>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</si>
  <si>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</si>
  <si>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</si>
  <si>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</si>
  <si>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</si>
  <si>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</si>
  <si>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</si>
  <si>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</si>
  <si>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Achat HT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</si>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</sst>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7"/>
  <sheetViews>
    <sheetView tabSelected="1" topLeftCell="A4" workbookViewId="0">
      <selection activeCell="E25" sqref="E25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2" t="s">
        <v>9</v>
      </c>
    </row>
    <row r="2" spans="2:16" x14ac:dyDescent="0.3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228</v>
      </c>
    </row>
    <row r="7" spans="2:16" x14ac:dyDescent="0.3">
      <c r="B7" s="8" t="s">
        <v>20</v>
      </c>
      <c r="C7" s="33">
        <v>21</v>
      </c>
      <c r="D7" s="33">
        <v>20</v>
      </c>
      <c r="E7" s="33">
        <v>23</v>
      </c>
      <c r="F7" s="33">
        <v>15</v>
      </c>
      <c r="G7" s="33">
        <v>18</v>
      </c>
      <c r="H7" s="33">
        <v>22</v>
      </c>
      <c r="I7" s="33">
        <v>16</v>
      </c>
      <c r="J7" s="33">
        <v>22</v>
      </c>
      <c r="K7" s="33">
        <v>21</v>
      </c>
      <c r="L7" s="33">
        <v>22</v>
      </c>
      <c r="M7" s="33">
        <v>14</v>
      </c>
      <c r="N7" s="33">
        <v>20</v>
      </c>
      <c r="O7" s="31"/>
      <c r="P7" s="52">
        <f>SUM(C7:N7)</f>
        <v>234</v>
      </c>
    </row>
    <row r="8" spans="2:16" x14ac:dyDescent="0.3">
      <c r="B8" s="16" t="s">
        <v>21</v>
      </c>
      <c r="C8" s="32">
        <f t="shared" ref="C8:N8" si="0">C7-C6</f>
        <v>2</v>
      </c>
      <c r="D8" s="32">
        <f t="shared" si="0"/>
        <v>1</v>
      </c>
      <c r="E8" s="32">
        <f t="shared" si="0"/>
        <v>4</v>
      </c>
      <c r="F8" s="32">
        <f t="shared" si="0"/>
        <v>-4</v>
      </c>
      <c r="G8" s="32">
        <f t="shared" si="0"/>
        <v>-1</v>
      </c>
      <c r="H8" s="32">
        <f t="shared" si="0"/>
        <v>3</v>
      </c>
      <c r="I8" s="32">
        <f t="shared" si="0"/>
        <v>-3</v>
      </c>
      <c r="J8" s="32">
        <f t="shared" si="0"/>
        <v>3</v>
      </c>
      <c r="K8" s="32">
        <f t="shared" si="0"/>
        <v>2</v>
      </c>
      <c r="L8" s="32">
        <f t="shared" si="0"/>
        <v>3</v>
      </c>
      <c r="M8" s="32">
        <f t="shared" si="0"/>
        <v>-5</v>
      </c>
      <c r="N8" s="32">
        <f t="shared" si="0"/>
        <v>1</v>
      </c>
      <c r="O8" s="31"/>
      <c r="P8" s="52">
        <f>SUM(C8:N8)</f>
        <v>6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21</v>
      </c>
      <c r="D11" s="10">
        <v>20</v>
      </c>
      <c r="E11" s="10">
        <v>23</v>
      </c>
      <c r="F11" s="10">
        <v>15</v>
      </c>
      <c r="G11" s="10">
        <v>17.5</v>
      </c>
      <c r="H11" s="10">
        <v>22</v>
      </c>
      <c r="I11" s="10">
        <v>16</v>
      </c>
      <c r="J11" s="10">
        <v>22</v>
      </c>
      <c r="K11" s="10">
        <v>21</v>
      </c>
      <c r="L11" s="10">
        <v>22</v>
      </c>
      <c r="M11" s="10">
        <v>14</v>
      </c>
      <c r="N11" s="10">
        <v>20</v>
      </c>
      <c r="P11" s="53">
        <f>SUM(C11:N11)</f>
        <v>233.5</v>
      </c>
    </row>
    <row r="12" spans="2:16" x14ac:dyDescent="0.3">
      <c r="B12" s="8" t="s">
        <v>15</v>
      </c>
      <c r="C12" s="11">
        <v>1</v>
      </c>
      <c r="D12" s="11"/>
      <c r="E12" s="11"/>
      <c r="F12" s="11">
        <v>4</v>
      </c>
      <c r="G12" s="11">
        <v>1.5</v>
      </c>
      <c r="H12" s="11"/>
      <c r="I12" s="11">
        <v>4</v>
      </c>
      <c r="J12" s="11"/>
      <c r="K12" s="11"/>
      <c r="L12" s="11"/>
      <c r="M12" s="11">
        <v>7</v>
      </c>
      <c r="N12" s="11"/>
      <c r="P12" s="53">
        <f>SUM(C12:N12)</f>
        <v>17.5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8039.4000000000005</v>
      </c>
      <c r="D17" s="9">
        <f>D11*Params!$C$5*(1-Params!$C$3)-Params!$C$4</f>
        <v>7653</v>
      </c>
      <c r="E17" s="9">
        <f>E11*Params!$C$5*(1-Params!$C$3)-Params!$C$4</f>
        <v>8812.2000000000007</v>
      </c>
      <c r="F17" s="9">
        <f>F11*Params!$C$5*(1-Params!$C$3)-Params!$C$4</f>
        <v>5721</v>
      </c>
      <c r="G17" s="9">
        <f>G11*Params!$C$5*(1-Params!$C$3)-Params!$C$4</f>
        <v>6687</v>
      </c>
      <c r="H17" s="9">
        <f>H11*Params!$C$5*(1-Params!$C$3)-Params!$C$4</f>
        <v>8425.8000000000011</v>
      </c>
      <c r="I17" s="9">
        <f>I11*Params!$C$5*(1-Params!$C$3)-Params!$C$4</f>
        <v>6107.4000000000005</v>
      </c>
      <c r="J17" s="9">
        <f>J11*Params!$C$5*(1-Params!$C$3)-Params!$C$4</f>
        <v>8425.8000000000011</v>
      </c>
      <c r="K17" s="9">
        <f>K11*Params!$C$5*(1-Params!$C$3)-Params!$C$4</f>
        <v>8039.4000000000005</v>
      </c>
      <c r="L17" s="9">
        <f>L11*Params!$C$5*(1-Params!$C$3)-Params!$C$4</f>
        <v>8425.8000000000011</v>
      </c>
      <c r="M17" s="9">
        <f>M11*Params!$C$5*(1-Params!$C$3)-Params!$C$4</f>
        <v>5334.6</v>
      </c>
      <c r="N17" s="9">
        <f>N11*Params!$C$5*(1-Params!$C$3)-Params!$C$4</f>
        <v>7653</v>
      </c>
      <c r="O17" s="4"/>
      <c r="P17" s="37">
        <f>SUM(C17:N17)</f>
        <v>89324.400000000023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8039.4000000000005</v>
      </c>
      <c r="D19" s="25">
        <f t="shared" si="1"/>
        <v>7653</v>
      </c>
      <c r="E19" s="25">
        <f t="shared" si="1"/>
        <v>8812.2000000000007</v>
      </c>
      <c r="F19" s="25">
        <f t="shared" si="1"/>
        <v>5721</v>
      </c>
      <c r="G19" s="25">
        <f t="shared" si="1"/>
        <v>6687</v>
      </c>
      <c r="H19" s="25">
        <f t="shared" si="1"/>
        <v>8425.8000000000011</v>
      </c>
      <c r="I19" s="25">
        <f t="shared" si="1"/>
        <v>6107.4000000000005</v>
      </c>
      <c r="J19" s="25">
        <f t="shared" si="1"/>
        <v>8425.8000000000011</v>
      </c>
      <c r="K19" s="25">
        <f t="shared" si="1"/>
        <v>8039.4000000000005</v>
      </c>
      <c r="L19" s="25">
        <f t="shared" si="1"/>
        <v>8425.8000000000011</v>
      </c>
      <c r="M19" s="25">
        <f t="shared" si="1"/>
        <v>5334.6</v>
      </c>
      <c r="N19" s="25">
        <f t="shared" si="1"/>
        <v>7653</v>
      </c>
      <c r="O19" s="5"/>
      <c r="P19" s="38">
        <f>SUM(C19:N19)</f>
        <v>89324.400000000023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4877.8500000000004</v>
      </c>
      <c r="D22" s="9">
        <v>4877.8500000000004</v>
      </c>
      <c r="E22" s="9">
        <v>4877.8500000000004</v>
      </c>
      <c r="F22" s="9">
        <v>4877.8500000000004</v>
      </c>
      <c r="G22" s="9">
        <v>4877.8500000000004</v>
      </c>
      <c r="H22" s="9">
        <v>4877.8500000000004</v>
      </c>
      <c r="I22" s="9">
        <v>4877.8500000000004</v>
      </c>
      <c r="J22" s="9">
        <v>4877.8500000000004</v>
      </c>
      <c r="K22" s="9">
        <v>4877.8500000000004</v>
      </c>
      <c r="L22" s="9">
        <v>4877.8500000000004</v>
      </c>
      <c r="M22" s="9">
        <v>4877.8500000000004</v>
      </c>
      <c r="N22" s="9">
        <v>5357.7</v>
      </c>
      <c r="O22" s="4"/>
      <c r="P22" s="39">
        <f>SUM(C22:N22)</f>
        <v>59014.049999999988</v>
      </c>
    </row>
    <row r="23" spans="2:16" x14ac:dyDescent="0.3">
      <c r="B23" s="8" t="s">
        <v>8</v>
      </c>
      <c r="C23" s="9">
        <f>901.43+1506.2</f>
        <v>2407.63</v>
      </c>
      <c r="D23" s="9">
        <f>901.43+1508.84</f>
        <v>2410.27</v>
      </c>
      <c r="E23" s="9">
        <f>901.43+1506.2</f>
        <v>2407.63</v>
      </c>
      <c r="F23" s="9">
        <f>901.43+1506.2</f>
        <v>2407.63</v>
      </c>
      <c r="G23" s="9">
        <f>901.43+1518.89</f>
        <v>2420.3200000000002</v>
      </c>
      <c r="H23" s="9">
        <f>901.43+1511.24</f>
        <v>2412.67</v>
      </c>
      <c r="I23" s="9">
        <f>901.43+1507.28</f>
        <v>2408.71</v>
      </c>
      <c r="J23" s="9">
        <f>901.43+1517.81</f>
        <v>2419.2399999999998</v>
      </c>
      <c r="K23" s="9">
        <f>901.43+1507.28</f>
        <v>2408.71</v>
      </c>
      <c r="L23" s="9">
        <f>901.43+1507.28</f>
        <v>2408.71</v>
      </c>
      <c r="M23" s="9">
        <f>901.43+1507.28</f>
        <v>2408.71</v>
      </c>
      <c r="N23" s="9">
        <f>1009.58+1707.03</f>
        <v>2716.61</v>
      </c>
      <c r="O23" s="4"/>
      <c r="P23" s="39">
        <f>SUM(C23:N23)</f>
        <v>29236.839999999997</v>
      </c>
    </row>
    <row r="24" spans="2:16" x14ac:dyDescent="0.3">
      <c r="B24" s="60" t="s">
        <v>39</v>
      </c>
      <c r="C24" s="61"/>
      <c r="D24" s="61"/>
      <c r="E24" s="61">
        <f>982.5+46</f>
        <v>1028.5</v>
      </c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1028.5</v>
      </c>
    </row>
    <row r="25" spans="2:16" x14ac:dyDescent="0.3">
      <c r="B25" s="7" t="s">
        <v>3</v>
      </c>
      <c r="C25" s="40">
        <f t="shared" ref="C25:N25" si="2">SUM(C22:C24)</f>
        <v>7285.4800000000005</v>
      </c>
      <c r="D25" s="40">
        <f t="shared" si="2"/>
        <v>7288.1200000000008</v>
      </c>
      <c r="E25" s="40">
        <f t="shared" si="2"/>
        <v>8313.98</v>
      </c>
      <c r="F25" s="40">
        <f t="shared" si="2"/>
        <v>7285.4800000000005</v>
      </c>
      <c r="G25" s="40">
        <f t="shared" si="2"/>
        <v>7298.17</v>
      </c>
      <c r="H25" s="40">
        <f t="shared" si="2"/>
        <v>7290.52</v>
      </c>
      <c r="I25" s="40">
        <f t="shared" si="2"/>
        <v>7286.56</v>
      </c>
      <c r="J25" s="40">
        <f t="shared" si="2"/>
        <v>7297.09</v>
      </c>
      <c r="K25" s="40">
        <f t="shared" si="2"/>
        <v>7286.56</v>
      </c>
      <c r="L25" s="40">
        <f t="shared" si="2"/>
        <v>7286.56</v>
      </c>
      <c r="M25" s="40">
        <f t="shared" si="2"/>
        <v>7286.56</v>
      </c>
      <c r="N25" s="40">
        <f t="shared" si="2"/>
        <v>8074.3099999999995</v>
      </c>
      <c r="O25" s="4"/>
      <c r="P25" s="41">
        <f>SUM(C25:N25)</f>
        <v>89279.389999999985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3">C19-C25</f>
        <v>753.92000000000007</v>
      </c>
      <c r="D27" s="44">
        <f t="shared" si="3"/>
        <v>364.8799999999992</v>
      </c>
      <c r="E27" s="44">
        <f t="shared" si="3"/>
        <v>498.22000000000116</v>
      </c>
      <c r="F27" s="44">
        <f t="shared" si="3"/>
        <v>-1564.4800000000005</v>
      </c>
      <c r="G27" s="44">
        <f t="shared" si="3"/>
        <v>-611.17000000000007</v>
      </c>
      <c r="H27" s="44">
        <f t="shared" si="3"/>
        <v>1135.2800000000007</v>
      </c>
      <c r="I27" s="44">
        <f t="shared" si="3"/>
        <v>-1179.1599999999999</v>
      </c>
      <c r="J27" s="44">
        <f t="shared" si="3"/>
        <v>1128.7100000000009</v>
      </c>
      <c r="K27" s="44">
        <f t="shared" si="3"/>
        <v>752.84000000000015</v>
      </c>
      <c r="L27" s="44">
        <f t="shared" si="3"/>
        <v>1139.2400000000007</v>
      </c>
      <c r="M27" s="44">
        <f t="shared" si="3"/>
        <v>-1951.96</v>
      </c>
      <c r="N27" s="44">
        <f t="shared" si="3"/>
        <v>-421.30999999999949</v>
      </c>
      <c r="P27" s="54">
        <f>SUM(C27:N27)</f>
        <v>45.010000000002947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5C038-008B-41B6-A502-38FF5F6F9AD4}">
  <dimension ref="B1:P27"/>
  <sheetViews>
    <sheetView workbookViewId="0">
      <selection activeCell="I34" sqref="I34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2" t="s">
        <v>9</v>
      </c>
    </row>
    <row r="2" spans="2:16" x14ac:dyDescent="0.3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228</v>
      </c>
    </row>
    <row r="7" spans="2:16" x14ac:dyDescent="0.3">
      <c r="B7" s="8" t="s">
        <v>20</v>
      </c>
      <c r="C7" s="33">
        <v>19</v>
      </c>
      <c r="D7" s="33">
        <v>19</v>
      </c>
      <c r="E7" s="33">
        <v>21</v>
      </c>
      <c r="F7" s="33">
        <v>21</v>
      </c>
      <c r="G7" s="33">
        <v>14</v>
      </c>
      <c r="H7" s="33">
        <v>20</v>
      </c>
      <c r="I7" s="33">
        <v>17</v>
      </c>
      <c r="J7" s="33">
        <v>18.5</v>
      </c>
      <c r="K7" s="33">
        <v>19</v>
      </c>
      <c r="L7" s="33">
        <v>19</v>
      </c>
      <c r="M7" s="33">
        <v>18</v>
      </c>
      <c r="N7" s="33">
        <v>17</v>
      </c>
      <c r="O7" s="31"/>
      <c r="P7" s="52">
        <f>SUM(C7:N7)</f>
        <v>222.5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2</v>
      </c>
      <c r="F8" s="32">
        <f t="shared" si="0"/>
        <v>2</v>
      </c>
      <c r="G8" s="32">
        <f t="shared" si="0"/>
        <v>-5</v>
      </c>
      <c r="H8" s="32">
        <f t="shared" si="0"/>
        <v>1</v>
      </c>
      <c r="I8" s="32">
        <f t="shared" si="0"/>
        <v>-2</v>
      </c>
      <c r="J8" s="32">
        <f t="shared" si="0"/>
        <v>-0.5</v>
      </c>
      <c r="K8" s="32">
        <f t="shared" si="0"/>
        <v>0</v>
      </c>
      <c r="L8" s="32">
        <f t="shared" si="0"/>
        <v>0</v>
      </c>
      <c r="M8" s="32">
        <f t="shared" si="0"/>
        <v>-1</v>
      </c>
      <c r="N8" s="32">
        <f t="shared" si="0"/>
        <v>-2</v>
      </c>
      <c r="O8" s="31"/>
      <c r="P8" s="52">
        <f>SUM(C8:N8)</f>
        <v>-5.5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19</v>
      </c>
      <c r="D11" s="10">
        <v>19</v>
      </c>
      <c r="E11" s="10">
        <v>21</v>
      </c>
      <c r="F11" s="10">
        <v>21</v>
      </c>
      <c r="G11" s="10">
        <v>14</v>
      </c>
      <c r="H11" s="10">
        <v>19.5</v>
      </c>
      <c r="I11" s="10">
        <v>17</v>
      </c>
      <c r="J11" s="10">
        <v>18.5</v>
      </c>
      <c r="K11" s="10">
        <v>19</v>
      </c>
      <c r="L11" s="10">
        <v>19</v>
      </c>
      <c r="M11" s="10">
        <v>17.5</v>
      </c>
      <c r="N11" s="10">
        <v>17</v>
      </c>
      <c r="P11" s="53">
        <f>SUM(C11:N11)</f>
        <v>221.5</v>
      </c>
    </row>
    <row r="12" spans="2:16" x14ac:dyDescent="0.3">
      <c r="B12" s="8" t="s">
        <v>15</v>
      </c>
      <c r="C12" s="11">
        <v>3</v>
      </c>
      <c r="D12" s="11">
        <v>2</v>
      </c>
      <c r="E12" s="11"/>
      <c r="F12" s="11"/>
      <c r="G12" s="11">
        <v>5</v>
      </c>
      <c r="H12" s="11">
        <v>0.5</v>
      </c>
      <c r="I12" s="11">
        <v>6</v>
      </c>
      <c r="J12" s="11">
        <v>2.5</v>
      </c>
      <c r="K12" s="11">
        <v>2</v>
      </c>
      <c r="L12" s="11">
        <v>4</v>
      </c>
      <c r="M12" s="11">
        <v>1.5</v>
      </c>
      <c r="N12" s="11">
        <v>4</v>
      </c>
      <c r="P12" s="53">
        <f>SUM(C12:N12)</f>
        <v>30.5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7266.6</v>
      </c>
      <c r="D17" s="9">
        <f>D11*Params!$C$5*(1-Params!$C$3)-Params!$C$4</f>
        <v>7266.6</v>
      </c>
      <c r="E17" s="9">
        <f>E11*Params!$C$5*(1-Params!$C$3)-Params!$C$4</f>
        <v>8039.4000000000005</v>
      </c>
      <c r="F17" s="9">
        <f>F11*Params!$C$5*(1-Params!$C$3)-Params!$C$4</f>
        <v>8039.4000000000005</v>
      </c>
      <c r="G17" s="9">
        <f>G11*Params!$C$5*(1-Params!$C$3)-Params!$C$4</f>
        <v>5334.6</v>
      </c>
      <c r="H17" s="9">
        <f>H11*Params!$C$5*(1-Params!$C$3)-Params!$C$4</f>
        <v>7459.8</v>
      </c>
      <c r="I17" s="9">
        <f>I11*Params!$C$5*(1-Params!$C$3)-Params!$C$4</f>
        <v>6493.8</v>
      </c>
      <c r="J17" s="9">
        <f>J11*Params!$C$5*(1-Params!$C$3)-Params!$C$4</f>
        <v>7073.4000000000005</v>
      </c>
      <c r="K17" s="9">
        <f>K11*Params!$C$5*(1-Params!$C$3)-Params!$C$4</f>
        <v>7266.6</v>
      </c>
      <c r="L17" s="9">
        <f>L11*Params!$C$5*(1-Params!$C$3)-Params!$C$4</f>
        <v>7266.6</v>
      </c>
      <c r="M17" s="9">
        <f>M11*Params!$C$5*(1-Params!$C$3)-Params!$C$4</f>
        <v>6687</v>
      </c>
      <c r="N17" s="9">
        <f>N11*Params!$C$5*(1-Params!$C$3)-Params!$C$4</f>
        <v>6493.8</v>
      </c>
      <c r="O17" s="4"/>
      <c r="P17" s="37">
        <f>SUM(C17:N17)</f>
        <v>84687.60000000002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7266.6</v>
      </c>
      <c r="D19" s="25">
        <f t="shared" si="1"/>
        <v>7266.6</v>
      </c>
      <c r="E19" s="25">
        <f t="shared" si="1"/>
        <v>8039.4000000000005</v>
      </c>
      <c r="F19" s="25">
        <f t="shared" si="1"/>
        <v>8039.4000000000005</v>
      </c>
      <c r="G19" s="25">
        <f t="shared" si="1"/>
        <v>5334.6</v>
      </c>
      <c r="H19" s="25">
        <f t="shared" si="1"/>
        <v>7459.8</v>
      </c>
      <c r="I19" s="25">
        <f t="shared" si="1"/>
        <v>6493.8</v>
      </c>
      <c r="J19" s="25">
        <f t="shared" si="1"/>
        <v>7073.4000000000005</v>
      </c>
      <c r="K19" s="25">
        <f t="shared" si="1"/>
        <v>7266.6</v>
      </c>
      <c r="L19" s="25">
        <f t="shared" si="1"/>
        <v>7266.6</v>
      </c>
      <c r="M19" s="25">
        <f t="shared" si="1"/>
        <v>6687</v>
      </c>
      <c r="N19" s="25">
        <f t="shared" si="1"/>
        <v>6493.8</v>
      </c>
      <c r="O19" s="5"/>
      <c r="P19" s="38">
        <f>SUM(C19:N19)</f>
        <v>84687.60000000002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4871.04</v>
      </c>
      <c r="D22" s="9">
        <v>4871.04</v>
      </c>
      <c r="E22" s="9">
        <v>4871.04</v>
      </c>
      <c r="F22" s="9">
        <v>4871.04</v>
      </c>
      <c r="G22" s="9">
        <v>4871.04</v>
      </c>
      <c r="H22" s="9">
        <v>4871.04</v>
      </c>
      <c r="I22" s="9">
        <v>4871.04</v>
      </c>
      <c r="J22" s="9">
        <v>5059.0200000000004</v>
      </c>
      <c r="K22" s="9">
        <v>4871.04</v>
      </c>
      <c r="L22" s="9">
        <v>4871.04</v>
      </c>
      <c r="M22" s="9">
        <v>4871.04</v>
      </c>
      <c r="N22" s="9">
        <v>4871.04</v>
      </c>
      <c r="O22" s="4"/>
      <c r="P22" s="39">
        <f>SUM(C22:N22)</f>
        <v>58640.460000000006</v>
      </c>
    </row>
    <row r="23" spans="2:16" x14ac:dyDescent="0.3">
      <c r="B23" s="8" t="s">
        <v>8</v>
      </c>
      <c r="C23" s="9">
        <f>915.09+1523.16</f>
        <v>2438.25</v>
      </c>
      <c r="D23" s="9">
        <f>915.09+1531.05</f>
        <v>2446.14</v>
      </c>
      <c r="E23" s="9">
        <f>915.09+1528.41</f>
        <v>2443.5</v>
      </c>
      <c r="F23" s="9">
        <f>915.09+1523.16</f>
        <v>2438.25</v>
      </c>
      <c r="G23" s="9">
        <f>915.09+1542.66</f>
        <v>2457.75</v>
      </c>
      <c r="H23" s="9">
        <f>915.09+1555.8</f>
        <v>2470.89</v>
      </c>
      <c r="I23" s="9">
        <f>915.09+1546.14</f>
        <v>2461.23</v>
      </c>
      <c r="J23" s="9">
        <f>957.36+1628.57</f>
        <v>2585.9299999999998</v>
      </c>
      <c r="K23" s="9">
        <f>915.09+1551.39</f>
        <v>2466.48</v>
      </c>
      <c r="L23" s="9">
        <f>915.09+1550.07</f>
        <v>2465.16</v>
      </c>
      <c r="M23" s="9">
        <f>915.09+1555.35</f>
        <v>2470.44</v>
      </c>
      <c r="N23" s="9">
        <f>915.09+1548.78</f>
        <v>2463.87</v>
      </c>
      <c r="O23" s="4"/>
      <c r="P23" s="39">
        <f>SUM(C23:N23)</f>
        <v>29607.889999999996</v>
      </c>
    </row>
    <row r="24" spans="2:16" x14ac:dyDescent="0.3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0</v>
      </c>
    </row>
    <row r="25" spans="2:16" x14ac:dyDescent="0.3">
      <c r="B25" s="7" t="s">
        <v>3</v>
      </c>
      <c r="C25" s="40">
        <f t="shared" ref="C25:N25" si="2">SUM(C22:C24)</f>
        <v>7309.29</v>
      </c>
      <c r="D25" s="40">
        <f t="shared" si="2"/>
        <v>7317.18</v>
      </c>
      <c r="E25" s="40">
        <f t="shared" si="2"/>
        <v>7314.54</v>
      </c>
      <c r="F25" s="40">
        <f t="shared" si="2"/>
        <v>7309.29</v>
      </c>
      <c r="G25" s="40">
        <f t="shared" si="2"/>
        <v>7328.79</v>
      </c>
      <c r="H25" s="40">
        <f t="shared" si="2"/>
        <v>7341.93</v>
      </c>
      <c r="I25" s="40">
        <f t="shared" si="2"/>
        <v>7332.27</v>
      </c>
      <c r="J25" s="40">
        <f t="shared" si="2"/>
        <v>7644.9500000000007</v>
      </c>
      <c r="K25" s="40">
        <f t="shared" si="2"/>
        <v>7337.52</v>
      </c>
      <c r="L25" s="40">
        <f t="shared" si="2"/>
        <v>7336.2</v>
      </c>
      <c r="M25" s="40">
        <f t="shared" si="2"/>
        <v>7341.48</v>
      </c>
      <c r="N25" s="40">
        <f t="shared" si="2"/>
        <v>7334.91</v>
      </c>
      <c r="O25" s="4"/>
      <c r="P25" s="41">
        <f>SUM(C25:N25)</f>
        <v>88248.35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3">C19-C25</f>
        <v>-42.6899999999996</v>
      </c>
      <c r="D27" s="44">
        <f t="shared" si="3"/>
        <v>-50.579999999999927</v>
      </c>
      <c r="E27" s="44">
        <f t="shared" si="3"/>
        <v>724.86000000000058</v>
      </c>
      <c r="F27" s="44">
        <f t="shared" si="3"/>
        <v>730.11000000000058</v>
      </c>
      <c r="G27" s="44">
        <f t="shared" si="3"/>
        <v>-1994.1899999999996</v>
      </c>
      <c r="H27" s="44">
        <f t="shared" si="3"/>
        <v>117.86999999999989</v>
      </c>
      <c r="I27" s="44">
        <f t="shared" si="3"/>
        <v>-838.47000000000025</v>
      </c>
      <c r="J27" s="44">
        <f t="shared" si="3"/>
        <v>-571.55000000000018</v>
      </c>
      <c r="K27" s="44">
        <f t="shared" si="3"/>
        <v>-70.920000000000073</v>
      </c>
      <c r="L27" s="44">
        <f t="shared" si="3"/>
        <v>-69.599999999999454</v>
      </c>
      <c r="M27" s="44">
        <f t="shared" si="3"/>
        <v>-654.47999999999956</v>
      </c>
      <c r="N27" s="44">
        <f t="shared" si="3"/>
        <v>-841.10999999999967</v>
      </c>
      <c r="P27" s="54">
        <f>SUM(C27:N27)</f>
        <v>-3560.7499999999973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64AA3-F0B7-482C-9DFA-7E8FF008E6F7}">
  <dimension ref="B1:P27"/>
  <sheetViews>
    <sheetView workbookViewId="0">
      <selection activeCell="E31" sqref="E31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2" t="s">
        <v>9</v>
      </c>
    </row>
    <row r="2" spans="2:16" x14ac:dyDescent="0.3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/>
      <c r="E6" s="56"/>
      <c r="F6" s="33"/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19</v>
      </c>
    </row>
    <row r="7" spans="2:16" x14ac:dyDescent="0.3">
      <c r="B7" s="8" t="s">
        <v>20</v>
      </c>
      <c r="C7" s="33">
        <v>22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22</v>
      </c>
    </row>
    <row r="8" spans="2:16" x14ac:dyDescent="0.3">
      <c r="B8" s="16" t="s">
        <v>21</v>
      </c>
      <c r="C8" s="32">
        <f t="shared" ref="C8:N8" si="0">C7-C6</f>
        <v>3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3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P11" s="53">
        <f>SUM(C11:N11)</f>
        <v>22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8425.8000000000011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8425.8000000000011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8425.8000000000011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SUM(C19:N19)</f>
        <v>8425.8000000000011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4871.84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4871.84</v>
      </c>
    </row>
    <row r="23" spans="2:16" x14ac:dyDescent="0.3">
      <c r="B23" s="8" t="s">
        <v>8</v>
      </c>
      <c r="C23" s="9">
        <f>921.25+1561.46</f>
        <v>2482.71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2482.71</v>
      </c>
    </row>
    <row r="24" spans="2:16" x14ac:dyDescent="0.3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0</v>
      </c>
    </row>
    <row r="25" spans="2:16" x14ac:dyDescent="0.3">
      <c r="B25" s="7" t="s">
        <v>3</v>
      </c>
      <c r="C25" s="40">
        <f t="shared" ref="C25:N25" si="2">SUM(C22:C24)</f>
        <v>7354.55</v>
      </c>
      <c r="D25" s="40">
        <f t="shared" si="2"/>
        <v>0</v>
      </c>
      <c r="E25" s="40">
        <f t="shared" si="2"/>
        <v>0</v>
      </c>
      <c r="F25" s="40">
        <f t="shared" si="2"/>
        <v>0</v>
      </c>
      <c r="G25" s="40">
        <f t="shared" si="2"/>
        <v>0</v>
      </c>
      <c r="H25" s="40">
        <f t="shared" si="2"/>
        <v>0</v>
      </c>
      <c r="I25" s="40">
        <f t="shared" si="2"/>
        <v>0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7354.55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3">C19-C25</f>
        <v>1071.2500000000009</v>
      </c>
      <c r="D27" s="44">
        <f t="shared" si="3"/>
        <v>0</v>
      </c>
      <c r="E27" s="44">
        <f t="shared" si="3"/>
        <v>0</v>
      </c>
      <c r="F27" s="44">
        <f t="shared" si="3"/>
        <v>0</v>
      </c>
      <c r="G27" s="44">
        <f t="shared" si="3"/>
        <v>0</v>
      </c>
      <c r="H27" s="44">
        <f t="shared" si="3"/>
        <v>0</v>
      </c>
      <c r="I27" s="44">
        <f t="shared" si="3"/>
        <v>0</v>
      </c>
      <c r="J27" s="44">
        <f t="shared" si="3"/>
        <v>0</v>
      </c>
      <c r="K27" s="44">
        <f t="shared" si="3"/>
        <v>0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P27" s="54">
        <f>SUM(C27:N27)</f>
        <v>1071.2500000000009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4" t="s">
        <v>22</v>
      </c>
      <c r="C2" s="65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420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6" t="s">
        <v>23</v>
      </c>
      <c r="C2" s="66"/>
    </row>
    <row r="3" spans="2:3" ht="16.95" customHeight="1" x14ac:dyDescent="0.3">
      <c r="B3" s="34" t="s">
        <v>24</v>
      </c>
      <c r="C3" s="35">
        <f>'2023'!P27+'2024'!P27</f>
        <v>-3515.7399999999943</v>
      </c>
    </row>
    <row r="4" spans="2:3" ht="16.95" customHeight="1" x14ac:dyDescent="0.3">
      <c r="B4" s="34" t="s">
        <v>26</v>
      </c>
      <c r="C4" s="36">
        <f>SUM('2023'!P12)+('2024'!P12)</f>
        <v>48</v>
      </c>
    </row>
    <row r="5" spans="2:3" x14ac:dyDescent="0.3">
      <c r="B5" t="s">
        <v>40</v>
      </c>
      <c r="C5">
        <f>(2.08*25)-C4</f>
        <v>4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2025-02-05T22:57:16Z</dcterms:modified>
</cp:coreProperties>
</file>