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6F99D51A-2598-4644-831E-55F47EE73A21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'2024'!$B$35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'2024'!$B$34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'2024'!$B$32</definedName>
    <definedName name="SOLDE" localSheetId="2">'2025'!$B$32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 localSheetId="2">'2025'!$B$27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KM" localSheetId="2">'2025'!$B$28</definedName>
    <definedName name="SORTIES_FRAIS_PEE_AMUNDI" localSheetId="0">'2023'!#REF!</definedName>
    <definedName name="SORTIES_FRAIS_PEE_AMUNDI" localSheetId="1">'2024'!$B$26</definedName>
    <definedName name="SORTIES_FRAIS_PEE_AMUNDI" localSheetId="2">'2025'!$B$26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CSG_CRDS" localSheetId="2">'2025'!$B$25</definedName>
    <definedName name="SORTIES_INTERESSEMENT_CSG_CRDS">'2024'!$B$25</definedName>
    <definedName name="SORTIES_INTERESSEMENT_NET" localSheetId="2">'2025'!$B$24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 localSheetId="2">'2025'!$B$30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C26" i="16"/>
  <c r="P35" i="16"/>
  <c r="P34" i="16"/>
  <c r="P37" i="16" s="1"/>
  <c r="P38" i="16" s="1"/>
  <c r="J30" i="16"/>
  <c r="I30" i="16"/>
  <c r="G30" i="16"/>
  <c r="P29" i="16"/>
  <c r="P28" i="16"/>
  <c r="K30" i="16"/>
  <c r="H30" i="16"/>
  <c r="E30" i="16"/>
  <c r="D30" i="16"/>
  <c r="P23" i="16"/>
  <c r="P18" i="16"/>
  <c r="N20" i="16"/>
  <c r="M20" i="16"/>
  <c r="L20" i="16"/>
  <c r="K20" i="16"/>
  <c r="J20" i="16"/>
  <c r="J32" i="16" s="1"/>
  <c r="I20" i="16"/>
  <c r="I32" i="16" s="1"/>
  <c r="H20" i="16"/>
  <c r="H32" i="16" s="1"/>
  <c r="G20" i="16"/>
  <c r="G32" i="16" s="1"/>
  <c r="F20" i="16"/>
  <c r="E20" i="16"/>
  <c r="E32" i="16" s="1"/>
  <c r="D20" i="16"/>
  <c r="D32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29" i="15"/>
  <c r="N26" i="15"/>
  <c r="N25" i="15"/>
  <c r="N24" i="15"/>
  <c r="P35" i="15"/>
  <c r="P34" i="15"/>
  <c r="P37" i="15" s="1"/>
  <c r="P38" i="15" s="1"/>
  <c r="I30" i="15"/>
  <c r="F30" i="15"/>
  <c r="P28" i="15"/>
  <c r="N27" i="15"/>
  <c r="M27" i="15"/>
  <c r="L27" i="15"/>
  <c r="K27" i="15"/>
  <c r="K30" i="15" s="1"/>
  <c r="J27" i="15"/>
  <c r="J30" i="15" s="1"/>
  <c r="I27" i="15"/>
  <c r="H27" i="15"/>
  <c r="H30" i="15" s="1"/>
  <c r="G27" i="15"/>
  <c r="P27" i="15" s="1"/>
  <c r="F27" i="15"/>
  <c r="E27" i="15"/>
  <c r="E30" i="15" s="1"/>
  <c r="D27" i="15"/>
  <c r="D30" i="15" s="1"/>
  <c r="C27" i="15"/>
  <c r="C30" i="15" s="1"/>
  <c r="M25" i="15"/>
  <c r="P25" i="15" s="1"/>
  <c r="L25" i="15"/>
  <c r="M24" i="15"/>
  <c r="L24" i="15"/>
  <c r="L26" i="15" s="1"/>
  <c r="L30" i="15" s="1"/>
  <c r="P23" i="15"/>
  <c r="H20" i="15"/>
  <c r="P18" i="15"/>
  <c r="N17" i="15"/>
  <c r="N20" i="15" s="1"/>
  <c r="M17" i="15"/>
  <c r="M20" i="15" s="1"/>
  <c r="L17" i="15"/>
  <c r="L20" i="15" s="1"/>
  <c r="L32" i="15" s="1"/>
  <c r="K17" i="15"/>
  <c r="K20" i="15" s="1"/>
  <c r="K32" i="15" s="1"/>
  <c r="J17" i="15"/>
  <c r="J20" i="15" s="1"/>
  <c r="J32" i="15" s="1"/>
  <c r="I17" i="15"/>
  <c r="I20" i="15" s="1"/>
  <c r="H17" i="15"/>
  <c r="G17" i="15"/>
  <c r="G20" i="15" s="1"/>
  <c r="F17" i="15"/>
  <c r="F20" i="15" s="1"/>
  <c r="F32" i="15" s="1"/>
  <c r="E17" i="15"/>
  <c r="E20" i="15" s="1"/>
  <c r="D17" i="15"/>
  <c r="D20" i="15" s="1"/>
  <c r="C17" i="15"/>
  <c r="C20" i="15" s="1"/>
  <c r="C32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M25" i="14"/>
  <c r="J25" i="14"/>
  <c r="I25" i="14"/>
  <c r="I27" i="14" s="1"/>
  <c r="H25" i="14"/>
  <c r="G25" i="14"/>
  <c r="F25" i="14"/>
  <c r="E25" i="14"/>
  <c r="E27" i="14" s="1"/>
  <c r="D25" i="14"/>
  <c r="C25" i="14"/>
  <c r="P24" i="14"/>
  <c r="N23" i="14"/>
  <c r="N25" i="14" s="1"/>
  <c r="M23" i="14"/>
  <c r="L23" i="14"/>
  <c r="L25" i="14" s="1"/>
  <c r="K23" i="14"/>
  <c r="K25" i="14" s="1"/>
  <c r="J23" i="14"/>
  <c r="P22" i="14"/>
  <c r="L19" i="14"/>
  <c r="K19" i="14"/>
  <c r="K27" i="14" s="1"/>
  <c r="J19" i="14"/>
  <c r="I19" i="14"/>
  <c r="H19" i="14"/>
  <c r="H27" i="14" s="1"/>
  <c r="G19" i="14"/>
  <c r="F19" i="14"/>
  <c r="F27" i="14" s="1"/>
  <c r="E19" i="14"/>
  <c r="D19" i="14"/>
  <c r="D27" i="14" s="1"/>
  <c r="C19" i="14"/>
  <c r="C27" i="14" s="1"/>
  <c r="P18" i="14"/>
  <c r="N17" i="14"/>
  <c r="N19" i="14" s="1"/>
  <c r="M17" i="14"/>
  <c r="M19" i="14" s="1"/>
  <c r="M27" i="14" s="1"/>
  <c r="L17" i="14"/>
  <c r="K17" i="14"/>
  <c r="J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8" i="14" l="1"/>
  <c r="N27" i="14"/>
  <c r="P26" i="15"/>
  <c r="J27" i="14"/>
  <c r="I32" i="15"/>
  <c r="P8" i="15"/>
  <c r="P17" i="15"/>
  <c r="K32" i="16"/>
  <c r="P17" i="14"/>
  <c r="M26" i="15"/>
  <c r="M30" i="15" s="1"/>
  <c r="P24" i="15"/>
  <c r="E32" i="15"/>
  <c r="N30" i="15"/>
  <c r="N32" i="15" s="1"/>
  <c r="P8" i="16"/>
  <c r="N30" i="16"/>
  <c r="N32" i="16" s="1"/>
  <c r="L30" i="16"/>
  <c r="L32" i="16" s="1"/>
  <c r="M30" i="16"/>
  <c r="M32" i="16" s="1"/>
  <c r="F30" i="16"/>
  <c r="F32" i="16" s="1"/>
  <c r="D32" i="15"/>
  <c r="H32" i="15"/>
  <c r="P25" i="14"/>
  <c r="L27" i="14"/>
  <c r="P19" i="14"/>
  <c r="G27" i="14"/>
  <c r="P27" i="14" s="1"/>
  <c r="P20" i="15"/>
  <c r="G30" i="15"/>
  <c r="G32" i="15" s="1"/>
  <c r="P23" i="14"/>
  <c r="M32" i="15" l="1"/>
  <c r="P30" i="15"/>
  <c r="P26" i="16"/>
  <c r="P32" i="15"/>
  <c r="C27" i="16"/>
  <c r="P27" i="16" s="1"/>
  <c r="C25" i="16"/>
  <c r="P25" i="16" s="1"/>
  <c r="C24" i="16"/>
  <c r="C17" i="16"/>
  <c r="C20" i="16" l="1"/>
  <c r="P17" i="16"/>
  <c r="C30" i="16"/>
  <c r="P30" i="16" s="1"/>
  <c r="P24" i="16"/>
  <c r="C32" i="16" l="1"/>
  <c r="P32" i="16" s="1"/>
  <c r="P20" i="16"/>
</calcChain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<sst xmlns="http://schemas.openxmlformats.org/spreadsheetml/2006/main" count="132" uniqueCount="49">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</sst>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4" fontId="13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P32" sqref="P32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F970-CCEB-4894-9459-86AA93450B85}">
  <dimension ref="B1:P38"/>
  <sheetViews>
    <sheetView workbookViewId="0">
      <selection activeCell="D20" sqref="D2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211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214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3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214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>
        <f>N11*Params!$C$5*(1-Params!$C$3)-Params!$C$4</f>
        <v>12096.6</v>
      </c>
      <c r="O17" s="4"/>
      <c r="P17" s="41">
        <f>SUM(C17:N17)</f>
        <v>123134.40000000001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12096.6</v>
      </c>
      <c r="O20" s="5"/>
      <c r="P20" s="42">
        <f>SUM(C20:O20)</f>
        <v>123343.73000000001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>
        <v>5074.42</v>
      </c>
      <c r="O23" s="4"/>
      <c r="P23" s="43">
        <f>SUM(C23:N23)</f>
        <v>71095.209999999992</v>
      </c>
    </row>
    <row r="24" spans="2:16" x14ac:dyDescent="0.3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>
        <f>(6242.13/5)*(1-9.7%)</f>
        <v>1127.3286780000001</v>
      </c>
      <c r="O24" s="4"/>
      <c r="P24" s="43">
        <f t="shared" ref="P24:P26" si="2">SUM(C24:N24)</f>
        <v>3381.9860340000005</v>
      </c>
    </row>
    <row r="25" spans="2:16" x14ac:dyDescent="0.3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69">
        <f>(6242.13/5)*9.7%</f>
        <v>121.09732199999998</v>
      </c>
      <c r="O25" s="4"/>
      <c r="P25" s="43">
        <f t="shared" si="2"/>
        <v>363.29196599999995</v>
      </c>
    </row>
    <row r="26" spans="2:16" x14ac:dyDescent="0.3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69">
        <f>N24*0.02</f>
        <v>22.546573560000002</v>
      </c>
      <c r="O26" s="4"/>
      <c r="P26" s="43">
        <f t="shared" si="2"/>
        <v>67.639720680000011</v>
      </c>
    </row>
    <row r="27" spans="2:16" x14ac:dyDescent="0.3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>
        <f>1167.71+2597.46</f>
        <v>3765.17</v>
      </c>
      <c r="O27" s="4"/>
      <c r="P27" s="43">
        <f>SUM(C27:N27)</f>
        <v>46285.219999999994</v>
      </c>
    </row>
    <row r="28" spans="2:16" x14ac:dyDescent="0.3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>
        <v>549.89800000000002</v>
      </c>
      <c r="O28" s="4"/>
      <c r="P28" s="43">
        <f>SUM(C28:N28)</f>
        <v>3992.5320000000002</v>
      </c>
    </row>
    <row r="29" spans="2:16" x14ac:dyDescent="0.3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209.33</v>
      </c>
    </row>
    <row r="30" spans="2:16" x14ac:dyDescent="0.3">
      <c r="B30" s="8" t="s">
        <v>3</v>
      </c>
      <c r="C30" s="44">
        <f>SUM(C23:C28)</f>
        <v>10399.56</v>
      </c>
      <c r="D30" s="44">
        <f>SUM(D23:D29)</f>
        <v>10577.585999999999</v>
      </c>
      <c r="E30" s="44">
        <f t="shared" ref="E30:N30" si="3">SUM(E23:E29)</f>
        <v>10421.938</v>
      </c>
      <c r="F30" s="44">
        <f t="shared" si="3"/>
        <v>10399.56</v>
      </c>
      <c r="G30" s="44">
        <f t="shared" si="3"/>
        <v>10333.106000000002</v>
      </c>
      <c r="H30" s="44">
        <f t="shared" si="3"/>
        <v>10448.140000000001</v>
      </c>
      <c r="I30" s="44">
        <f t="shared" si="3"/>
        <v>10272.986000000001</v>
      </c>
      <c r="J30" s="44">
        <f t="shared" si="3"/>
        <v>10487.544</v>
      </c>
      <c r="K30" s="44">
        <f t="shared" si="3"/>
        <v>10463.407999999998</v>
      </c>
      <c r="L30" s="44">
        <f t="shared" si="3"/>
        <v>10489.73657356</v>
      </c>
      <c r="M30" s="44">
        <f t="shared" si="3"/>
        <v>10441.18457356</v>
      </c>
      <c r="N30" s="44">
        <f t="shared" si="3"/>
        <v>10660.46057356</v>
      </c>
      <c r="O30" s="4"/>
      <c r="P30" s="60">
        <f>SUM(C30:N30)</f>
        <v>125395.20972068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4">C20-C30</f>
        <v>1117.4400000000005</v>
      </c>
      <c r="D32" s="47">
        <f t="shared" si="4"/>
        <v>-590.05599999999868</v>
      </c>
      <c r="E32" s="47">
        <f t="shared" si="4"/>
        <v>1674.6620000000003</v>
      </c>
      <c r="F32" s="47">
        <f t="shared" si="4"/>
        <v>1117.4400000000005</v>
      </c>
      <c r="G32" s="47">
        <f t="shared" si="4"/>
        <v>-3452.9060000000009</v>
      </c>
      <c r="H32" s="47">
        <f t="shared" si="4"/>
        <v>1068.8599999999988</v>
      </c>
      <c r="I32" s="47">
        <f t="shared" si="4"/>
        <v>-6290.7860000000001</v>
      </c>
      <c r="J32" s="47">
        <f t="shared" si="4"/>
        <v>-3027.7439999999997</v>
      </c>
      <c r="K32" s="47">
        <f t="shared" si="4"/>
        <v>1633.1920000000027</v>
      </c>
      <c r="L32" s="47">
        <f t="shared" si="4"/>
        <v>2766.0634264400014</v>
      </c>
      <c r="M32" s="47">
        <f t="shared" si="4"/>
        <v>496.21542643999965</v>
      </c>
      <c r="N32" s="47">
        <f t="shared" si="4"/>
        <v>1436.1394264400005</v>
      </c>
      <c r="P32" s="59">
        <f>SUM(C32:O32)</f>
        <v>-2051.4797206799958</v>
      </c>
    </row>
    <row r="34" spans="2:16" x14ac:dyDescent="0.3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>
        <v>714</v>
      </c>
      <c r="P34" s="61">
        <f>SUM(C34:N34)</f>
        <v>7276</v>
      </c>
    </row>
    <row r="35" spans="2:16" x14ac:dyDescent="0.3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>
        <v>549.89800000000002</v>
      </c>
      <c r="P35" s="61">
        <f>SUM(C35:N35)</f>
        <v>3992.5320000000002</v>
      </c>
    </row>
    <row r="37" spans="2:16" x14ac:dyDescent="0.3">
      <c r="N37" s="54" t="s">
        <v>42</v>
      </c>
      <c r="P37" s="61">
        <f>(P34*0.357) + 1395</f>
        <v>3992.5319999999997</v>
      </c>
    </row>
    <row r="38" spans="2:16" x14ac:dyDescent="0.3">
      <c r="N38" s="54" t="s">
        <v>43</v>
      </c>
      <c r="P38" s="61">
        <f>P37-P35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C763F-727C-4603-8EB3-C52ECA6956A6}">
  <dimension ref="B1:P38"/>
  <sheetViews>
    <sheetView workbookViewId="0">
      <selection activeCell="C20" sqref="C20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18</v>
      </c>
    </row>
    <row r="7" spans="2:16" x14ac:dyDescent="0.3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3">
      <c r="B8" s="18" t="s">
        <v>22</v>
      </c>
      <c r="C8" s="63">
        <f t="shared" ref="C8:N8" si="0">C7-C6</f>
        <v>4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12676.2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12676.2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12676.2</v>
      </c>
      <c r="D20" s="28">
        <f>SUM(D17:D19)</f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12676.2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5072.1000000000004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5072.1000000000004</v>
      </c>
    </row>
    <row r="24" spans="2:16" x14ac:dyDescent="0.3">
      <c r="B24" s="66" t="s">
        <v>45</v>
      </c>
      <c r="C24" s="70">
        <f>(6245.73/5)*(1-9.7%)</f>
        <v>1127.978838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6" si="2">SUM(C24:N24)</f>
        <v>1127.978838</v>
      </c>
    </row>
    <row r="25" spans="2:16" x14ac:dyDescent="0.3">
      <c r="B25" s="67" t="s">
        <v>46</v>
      </c>
      <c r="C25" s="69">
        <f>(6245.73/5)*9.7%</f>
        <v>121.16716199999998</v>
      </c>
      <c r="D25" s="10"/>
      <c r="E25" s="10"/>
      <c r="F25" s="10"/>
      <c r="G25" s="10"/>
      <c r="H25" s="10"/>
      <c r="I25" s="10"/>
      <c r="J25" s="10"/>
      <c r="K25" s="10"/>
      <c r="L25" s="69"/>
      <c r="M25" s="69"/>
      <c r="N25" s="69"/>
      <c r="O25" s="4"/>
      <c r="P25" s="43">
        <f t="shared" si="2"/>
        <v>121.16716199999998</v>
      </c>
    </row>
    <row r="26" spans="2:16" x14ac:dyDescent="0.3">
      <c r="B26" s="68" t="s">
        <v>47</v>
      </c>
      <c r="C26" s="69">
        <f>C24*0.02</f>
        <v>22.559576759999999</v>
      </c>
      <c r="D26" s="10"/>
      <c r="E26" s="10"/>
      <c r="F26" s="10"/>
      <c r="G26" s="10"/>
      <c r="H26" s="10"/>
      <c r="I26" s="10"/>
      <c r="J26" s="10"/>
      <c r="K26" s="10"/>
      <c r="L26" s="69"/>
      <c r="M26" s="69"/>
      <c r="N26" s="69"/>
      <c r="O26" s="4"/>
      <c r="P26" s="43">
        <f t="shared" si="2"/>
        <v>22.559576759999999</v>
      </c>
    </row>
    <row r="27" spans="2:16" x14ac:dyDescent="0.3">
      <c r="B27" s="9" t="s">
        <v>8</v>
      </c>
      <c r="C27" s="10">
        <f>1173.63+2603.69</f>
        <v>3777.32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>SUM(C27:N27)</f>
        <v>3777.32</v>
      </c>
    </row>
    <row r="28" spans="2:16" x14ac:dyDescent="0.3">
      <c r="B28" s="55" t="s">
        <v>40</v>
      </c>
      <c r="C28" s="10">
        <v>367.036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>SUM(C28:N28)</f>
        <v>367.036</v>
      </c>
    </row>
    <row r="29" spans="2:16" x14ac:dyDescent="0.3">
      <c r="B29" s="55" t="s">
        <v>44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0</v>
      </c>
    </row>
    <row r="30" spans="2:16" x14ac:dyDescent="0.3">
      <c r="B30" s="8" t="s">
        <v>3</v>
      </c>
      <c r="C30" s="44">
        <f>SUM(C23:C28)</f>
        <v>10488.16157676</v>
      </c>
      <c r="D30" s="44">
        <f>SUM(D23:D29)</f>
        <v>0</v>
      </c>
      <c r="E30" s="44">
        <f t="shared" ref="E30:N30" si="3">SUM(E23:E29)</f>
        <v>0</v>
      </c>
      <c r="F30" s="44">
        <f t="shared" si="3"/>
        <v>0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"/>
      <c r="P30" s="60">
        <f>SUM(C30:N30)</f>
        <v>10488.16157676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4">C20-C30</f>
        <v>2188.0384232400011</v>
      </c>
      <c r="D32" s="47">
        <f t="shared" si="4"/>
        <v>0</v>
      </c>
      <c r="E32" s="47">
        <f t="shared" si="4"/>
        <v>0</v>
      </c>
      <c r="F32" s="47">
        <f t="shared" si="4"/>
        <v>0</v>
      </c>
      <c r="G32" s="47">
        <f t="shared" si="4"/>
        <v>0</v>
      </c>
      <c r="H32" s="47">
        <f t="shared" si="4"/>
        <v>0</v>
      </c>
      <c r="I32" s="47">
        <f t="shared" si="4"/>
        <v>0</v>
      </c>
      <c r="J32" s="47">
        <f t="shared" si="4"/>
        <v>0</v>
      </c>
      <c r="K32" s="47">
        <f t="shared" si="4"/>
        <v>0</v>
      </c>
      <c r="L32" s="47">
        <f t="shared" si="4"/>
        <v>0</v>
      </c>
      <c r="M32" s="47">
        <f t="shared" si="4"/>
        <v>0</v>
      </c>
      <c r="N32" s="47">
        <f t="shared" si="4"/>
        <v>0</v>
      </c>
      <c r="P32" s="59">
        <f>SUM(C32:O32)</f>
        <v>2188.0384232400011</v>
      </c>
    </row>
    <row r="34" spans="2:16" x14ac:dyDescent="0.3">
      <c r="B34" s="62" t="s">
        <v>37</v>
      </c>
      <c r="C34" s="54">
        <v>748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P34" s="61">
        <f>SUM(C34:N34)</f>
        <v>748</v>
      </c>
    </row>
    <row r="35" spans="2:16" x14ac:dyDescent="0.3">
      <c r="B35" s="62" t="s">
        <v>38</v>
      </c>
      <c r="C35" s="54">
        <v>367.036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P35" s="61">
        <f>SUM(C35:N35)</f>
        <v>367.036</v>
      </c>
    </row>
    <row r="37" spans="2:16" x14ac:dyDescent="0.3">
      <c r="N37" s="54" t="s">
        <v>42</v>
      </c>
      <c r="P37" s="61">
        <f>(P34*0.357) + 1395</f>
        <v>1662.0360000000001</v>
      </c>
    </row>
    <row r="38" spans="2:16" x14ac:dyDescent="0.3">
      <c r="N38" s="54" t="s">
        <v>43</v>
      </c>
      <c r="P38" s="61">
        <f>P37-P35</f>
        <v>1295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3" t="s">
        <v>23</v>
      </c>
      <c r="C2" s="74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5" t="s">
        <v>33</v>
      </c>
      <c r="C2" s="75"/>
    </row>
    <row r="3" spans="2:3" ht="16.95" customHeight="1" x14ac:dyDescent="0.3">
      <c r="B3" s="38" t="s">
        <v>34</v>
      </c>
      <c r="C3" s="39">
        <f>'2023'!P27+'2024'!P32+'2025'!P32</f>
        <v>6573.3287025600057</v>
      </c>
    </row>
    <row r="4" spans="2:3" ht="16.95" customHeight="1" x14ac:dyDescent="0.3">
      <c r="B4" s="38" t="s">
        <v>39</v>
      </c>
      <c r="C4" s="40">
        <f>'2023'!P12+'2024'!P12+'2025'!P12</f>
        <v>41</v>
      </c>
    </row>
    <row r="5" spans="2:3" x14ac:dyDescent="0.3">
      <c r="B5" t="s">
        <v>48</v>
      </c>
      <c r="C5">
        <f>(18*2.92)-C4</f>
        <v>11.560000000000002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2025-02-05T22:38:24Z</dcterms:modified>
</cp:coreProperties>
</file>