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1\Normal\"/>
    </mc:Choice>
  </mc:AlternateContent>
  <xr:revisionPtr revIDLastSave="0" documentId="13_ncr:1_{B2407239-A5D8-4BC6-817A-6D55BD65ED87}" xr6:coauthVersionLast="47" xr6:coauthVersionMax="47" xr10:uidLastSave="{00000000-0000-0000-0000-000000000000}"/>
  <bookViews>
    <workbookView xWindow="-108" yWindow="-108" windowWidth="23256" windowHeight="14856" activeTab="3" xr2:uid="{00000000-000D-0000-FFFF-FFFF00000000}"/>
  </bookViews>
  <sheets>
    <sheet name="2023" sheetId="14" r:id="rId1"/>
    <sheet name="2024" sheetId="15" r:id="rId2"/>
    <sheet name="2025" sheetId="16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'2023'!$B$14</definedName>
    <definedName name="CRA_ASTREINTE" localSheetId="1">'2024'!$B$14</definedName>
    <definedName name="CRA_ASTREINTE" localSheetId="2">'2025'!$B$14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'2025'!$B$13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'2023'!$B$16</definedName>
    <definedName name="ENTREES" localSheetId="1">'2024'!$B$16</definedName>
    <definedName name="ENTREES" localSheetId="2">'2025'!$B$16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 localSheetId="2">'2025'!$B$18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 localSheetId="2">'2025'!$B$17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FRAIS_KM" localSheetId="0">'2023'!$B$30</definedName>
    <definedName name="FRAIS_KM" localSheetId="1">'2024'!$B$32</definedName>
    <definedName name="FRAIS_KM" localSheetId="2">'2025'!$B$32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MBRE_KM" localSheetId="0">'2023'!$B$29</definedName>
    <definedName name="NOMBRE_KM" localSheetId="1">'2024'!$B$31</definedName>
    <definedName name="NOMBRE_KM" localSheetId="2">'2025'!$B$31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'2023'!$B$27</definedName>
    <definedName name="SOLDE" localSheetId="1">'2024'!$B$29</definedName>
    <definedName name="SOLDE" localSheetId="2">'2025'!$B$29</definedName>
    <definedName name="SORTIES" localSheetId="0">'2023'!$B$21</definedName>
    <definedName name="SORTIES" localSheetId="1">'2024'!$B$22</definedName>
    <definedName name="SORTIES" localSheetId="2">'2025'!$B$22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'2023'!$B$23</definedName>
    <definedName name="SORTIES_CHARGES_SOCIALES_PATRONALES" localSheetId="1">'2024'!$B$24</definedName>
    <definedName name="SORTIES_CHARGES_SOCIALES_PATRONALES" localSheetId="2">'2025'!$B$24</definedName>
    <definedName name="SORTIES_CHARGES_SOCIALES_PATRONALES">#REF!</definedName>
    <definedName name="SORTIES_FRAIS_KM" localSheetId="0">'2023'!$B$24</definedName>
    <definedName name="SORTIES_FRAIS_KM" localSheetId="1">'2024'!$B$25</definedName>
    <definedName name="SORTIES_FRAIS_KM" localSheetId="2">'2025'!$B$25</definedName>
    <definedName name="SORTIES_FRAIS_PEE_AMUNDI" localSheetId="0">'2023'!#REF!</definedName>
    <definedName name="SORTIES_FRAIS_PEE_AMUNDI" localSheetId="1">'2024'!#REF!</definedName>
    <definedName name="SORTIES_FRAIS_PEE_AMUNDI" localSheetId="2">'2025'!#REF!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SALAIRE_NET" localSheetId="0">'2023'!$B$22</definedName>
    <definedName name="SORTIES_SALAIRE_NET" localSheetId="1">'2024'!$B$23</definedName>
    <definedName name="SORTIES_SALAIRE_NET" localSheetId="2">'2025'!$B$23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'2023'!$B$19</definedName>
    <definedName name="TOTAL_ENTREES" localSheetId="1">'2024'!$B$20</definedName>
    <definedName name="TOTAL_ENTREES" localSheetId="2">'2025'!$B$20</definedName>
    <definedName name="TOTAL_ENTREES">#REF!</definedName>
    <definedName name="TOTAL_SORTIES" localSheetId="0">'2023'!$B$25</definedName>
    <definedName name="TOTAL_SORTIES" localSheetId="1">'2024'!$B$27</definedName>
    <definedName name="TOTAL_SORTIES" localSheetId="2">'2025'!$B$27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4" i="13" l="1"/>
  <c r="C3" i="13"/>
  <c r="C5" i="13"/>
  <c r="P32" i="16"/>
  <c r="P31" i="16"/>
  <c r="P34" i="16" s="1"/>
  <c r="N27" i="16"/>
  <c r="L27" i="16"/>
  <c r="H27" i="16"/>
  <c r="F27" i="16"/>
  <c r="D27" i="16"/>
  <c r="P26" i="16"/>
  <c r="P25" i="16"/>
  <c r="M27" i="16"/>
  <c r="K27" i="16"/>
  <c r="J27" i="16"/>
  <c r="I27" i="16"/>
  <c r="G27" i="16"/>
  <c r="E27" i="16"/>
  <c r="P23" i="16"/>
  <c r="M20" i="16"/>
  <c r="M29" i="16" s="1"/>
  <c r="K20" i="16"/>
  <c r="K29" i="16" s="1"/>
  <c r="I20" i="16"/>
  <c r="P19" i="16"/>
  <c r="P18" i="16"/>
  <c r="N20" i="16"/>
  <c r="N29" i="16" s="1"/>
  <c r="L20" i="16"/>
  <c r="J20" i="16"/>
  <c r="H20" i="16"/>
  <c r="G20" i="16"/>
  <c r="F20" i="16"/>
  <c r="E20" i="16"/>
  <c r="D20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I20" i="15"/>
  <c r="P32" i="15"/>
  <c r="P31" i="15"/>
  <c r="P34" i="15" s="1"/>
  <c r="P35" i="15" s="1"/>
  <c r="D27" i="15"/>
  <c r="P26" i="15"/>
  <c r="P25" i="15"/>
  <c r="N24" i="15"/>
  <c r="N27" i="15" s="1"/>
  <c r="N29" i="15" s="1"/>
  <c r="M24" i="15"/>
  <c r="M27" i="15" s="1"/>
  <c r="L24" i="15"/>
  <c r="L27" i="15" s="1"/>
  <c r="K24" i="15"/>
  <c r="K27" i="15" s="1"/>
  <c r="J24" i="15"/>
  <c r="J27" i="15" s="1"/>
  <c r="I24" i="15"/>
  <c r="I27" i="15" s="1"/>
  <c r="H24" i="15"/>
  <c r="H27" i="15" s="1"/>
  <c r="G24" i="15"/>
  <c r="G27" i="15" s="1"/>
  <c r="F24" i="15"/>
  <c r="F27" i="15" s="1"/>
  <c r="E24" i="15"/>
  <c r="E27" i="15" s="1"/>
  <c r="D24" i="15"/>
  <c r="C24" i="15"/>
  <c r="P23" i="15"/>
  <c r="H20" i="15"/>
  <c r="P19" i="15"/>
  <c r="P18" i="15"/>
  <c r="N17" i="15"/>
  <c r="N20" i="15" s="1"/>
  <c r="M17" i="15"/>
  <c r="M20" i="15" s="1"/>
  <c r="M29" i="15" s="1"/>
  <c r="L17" i="15"/>
  <c r="L20" i="15" s="1"/>
  <c r="K17" i="15"/>
  <c r="K20" i="15" s="1"/>
  <c r="J17" i="15"/>
  <c r="J20" i="15" s="1"/>
  <c r="J29" i="15" s="1"/>
  <c r="I17" i="15"/>
  <c r="H17" i="15"/>
  <c r="G17" i="15"/>
  <c r="G20" i="15" s="1"/>
  <c r="F17" i="15"/>
  <c r="F20" i="15" s="1"/>
  <c r="E17" i="15"/>
  <c r="E20" i="15" s="1"/>
  <c r="E29" i="15" s="1"/>
  <c r="D17" i="15"/>
  <c r="D20" i="15" s="1"/>
  <c r="D29" i="15" s="1"/>
  <c r="C17" i="15"/>
  <c r="C20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0" i="14"/>
  <c r="P29" i="14"/>
  <c r="P32" i="14" s="1"/>
  <c r="L25" i="14"/>
  <c r="I25" i="14"/>
  <c r="H25" i="14"/>
  <c r="G25" i="14"/>
  <c r="F25" i="14"/>
  <c r="E25" i="14"/>
  <c r="D25" i="14"/>
  <c r="C25" i="14"/>
  <c r="P24" i="14"/>
  <c r="N23" i="14"/>
  <c r="N25" i="14" s="1"/>
  <c r="M23" i="14"/>
  <c r="M25" i="14" s="1"/>
  <c r="L23" i="14"/>
  <c r="K23" i="14"/>
  <c r="K25" i="14" s="1"/>
  <c r="J23" i="14"/>
  <c r="J25" i="14" s="1"/>
  <c r="I23" i="14"/>
  <c r="P22" i="14"/>
  <c r="J19" i="14"/>
  <c r="J27" i="14" s="1"/>
  <c r="H19" i="14"/>
  <c r="H27" i="14" s="1"/>
  <c r="G19" i="14"/>
  <c r="G27" i="14" s="1"/>
  <c r="F19" i="14"/>
  <c r="E19" i="14"/>
  <c r="E27" i="14" s="1"/>
  <c r="D19" i="14"/>
  <c r="D27" i="14" s="1"/>
  <c r="C19" i="14"/>
  <c r="C27" i="14" s="1"/>
  <c r="P18" i="14"/>
  <c r="N17" i="14"/>
  <c r="N19" i="14" s="1"/>
  <c r="N27" i="14" s="1"/>
  <c r="M17" i="14"/>
  <c r="M19" i="14" s="1"/>
  <c r="M27" i="14" s="1"/>
  <c r="L17" i="14"/>
  <c r="L19" i="14" s="1"/>
  <c r="L27" i="14" s="1"/>
  <c r="K17" i="14"/>
  <c r="K19" i="14" s="1"/>
  <c r="K27" i="14" s="1"/>
  <c r="J17" i="14"/>
  <c r="I17" i="14"/>
  <c r="I19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P8" i="14" s="1"/>
  <c r="F8" i="14"/>
  <c r="E8" i="14"/>
  <c r="D8" i="14"/>
  <c r="C8" i="14"/>
  <c r="P7" i="14"/>
  <c r="P6" i="14"/>
  <c r="I27" i="14" l="1"/>
  <c r="F29" i="15"/>
  <c r="P24" i="15"/>
  <c r="P33" i="14"/>
  <c r="F29" i="16"/>
  <c r="H29" i="15"/>
  <c r="K29" i="15"/>
  <c r="C27" i="15"/>
  <c r="C29" i="15" s="1"/>
  <c r="P29" i="15" s="1"/>
  <c r="P8" i="15"/>
  <c r="L29" i="15"/>
  <c r="P35" i="16"/>
  <c r="H29" i="16"/>
  <c r="D29" i="16"/>
  <c r="G29" i="16"/>
  <c r="L29" i="16"/>
  <c r="P8" i="16"/>
  <c r="J29" i="16"/>
  <c r="E29" i="16"/>
  <c r="I29" i="16"/>
  <c r="P20" i="15"/>
  <c r="I29" i="15"/>
  <c r="P25" i="14"/>
  <c r="G29" i="15"/>
  <c r="P19" i="14"/>
  <c r="P17" i="14"/>
  <c r="F27" i="14"/>
  <c r="P27" i="14" s="1"/>
  <c r="P23" i="14"/>
  <c r="P17" i="15"/>
  <c r="P27" i="15" l="1"/>
  <c r="C24" i="16"/>
  <c r="C17" i="16"/>
  <c r="C20" i="16" l="1"/>
  <c r="P17" i="16"/>
  <c r="P24" i="16"/>
  <c r="C27" i="16"/>
  <c r="P27" i="16" s="1"/>
  <c r="P20" i="16" l="1"/>
  <c r="C29" i="16"/>
  <c r="P29" i="16" s="1"/>
</calcChain>
</file>

<file path=xl/sharedStrings.xml><?xml version="1.0" encoding="utf-8"?>
<sst xmlns="http://schemas.openxmlformats.org/spreadsheetml/2006/main" count="126" uniqueCount="47">
  <si>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</si>
  <si>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</si>
  <si>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</si>
  <si>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</si>
  <si>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</si>
  <si>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</si>
  <si>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</si>
  <si>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</si>
  <si>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</si>
  <si>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</si>
  <si>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</si>
  <si>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</si>
  <si>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</si>
  <si>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</si>
  <si>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</si>
  <si>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</si>
  <si>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</si>
  <si>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</si>
  <si>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</si>
  <si>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</si>
  <si>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</si>
  <si>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</si>
  <si>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</si>
  <si>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</si>
  <si>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</si>
  <si>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</si>
  <si>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</si>
  <si>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</si>
  <si>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</si>
  <si>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</si>
  <si>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</si>
  <si>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</si>
  <si>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</si>
  <si>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</si>
  <si>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</si>
  <si>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</si>
  <si>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</si>
  <si>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</si>
  <si>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</si>
  <si>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</si>
  <si>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</si>
  <si>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(Juillet 2023)</t>
  </si>
  <si>
    <t>Frais KM annuel à payer</t>
  </si>
  <si>
    <t>Régularisation Frais KM</t>
  </si>
  <si>
    <t>Achat</t>
  </si>
  <si>
    <t>Prime de Cooptation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</si>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</sst>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3"/>
  <sheetViews>
    <sheetView topLeftCell="B2" workbookViewId="0">
      <selection activeCell="N32" sqref="N32:P33"/>
    </sheetView>
  </sheetViews>
  <sheetFormatPr baseColWidth="10" defaultRowHeight="14.4" x14ac:dyDescent="0.3"/>
  <cols>
    <col min="1" max="1" width="3" customWidth="1"/>
    <col min="2" max="2" width="28" customWidth="1"/>
    <col min="14" max="14" width="18.88671875" bestFit="1" customWidth="1"/>
    <col min="15" max="15" width="4" customWidth="1"/>
    <col min="16" max="16" width="11" style="48" customWidth="1"/>
  </cols>
  <sheetData>
    <row r="1" spans="2:16" x14ac:dyDescent="0.3">
      <c r="B1" s="65" t="s">
        <v>9</v>
      </c>
    </row>
    <row r="2" spans="2:16" x14ac:dyDescent="0.3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/>
      <c r="H6" s="37"/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7">
        <f>SUM(C6:N6)</f>
        <v>114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/>
      <c r="I7" s="37">
        <v>20</v>
      </c>
      <c r="J7" s="37">
        <v>21</v>
      </c>
      <c r="K7" s="37">
        <v>21</v>
      </c>
      <c r="L7" s="37">
        <v>22</v>
      </c>
      <c r="M7" s="37">
        <v>21</v>
      </c>
      <c r="N7" s="37">
        <v>20</v>
      </c>
      <c r="O7" s="36"/>
      <c r="P7" s="57">
        <f>SUM(C7:N7)</f>
        <v>125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1</v>
      </c>
      <c r="J8" s="63">
        <f t="shared" si="0"/>
        <v>2</v>
      </c>
      <c r="K8" s="63">
        <f t="shared" si="0"/>
        <v>2</v>
      </c>
      <c r="L8" s="63">
        <f t="shared" si="0"/>
        <v>3</v>
      </c>
      <c r="M8" s="63">
        <f t="shared" si="0"/>
        <v>2</v>
      </c>
      <c r="N8" s="63">
        <f t="shared" si="0"/>
        <v>1</v>
      </c>
      <c r="O8" s="36"/>
      <c r="P8" s="57">
        <f>SUM(C8:N8)</f>
        <v>11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>
        <v>20</v>
      </c>
      <c r="J11" s="11">
        <v>21</v>
      </c>
      <c r="K11" s="11">
        <v>21</v>
      </c>
      <c r="L11" s="11">
        <v>22</v>
      </c>
      <c r="M11" s="11">
        <v>21</v>
      </c>
      <c r="N11" s="11">
        <v>20</v>
      </c>
      <c r="P11" s="58">
        <f>SUM(C11:N11)</f>
        <v>125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>
        <v>1</v>
      </c>
      <c r="K12" s="12"/>
      <c r="L12" s="12"/>
      <c r="M12" s="12"/>
      <c r="N12" s="12"/>
      <c r="P12" s="58">
        <f>SUM(C12:N12)</f>
        <v>1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>
        <f>I11*Params!$C$5*(1-Params!$C$3)-Params!$C$4</f>
        <v>9677</v>
      </c>
      <c r="J17" s="10">
        <f>J11*Params!$C$5*(1-Params!$C$3)-Params!$C$4</f>
        <v>10164.6</v>
      </c>
      <c r="K17" s="10">
        <f>K11*Params!$C$5*(1-Params!$C$3)-Params!$C$4</f>
        <v>10164.6</v>
      </c>
      <c r="L17" s="10">
        <f>L11*Params!$C$5*(1-Params!$C$3)-Params!$C$4</f>
        <v>10652.2</v>
      </c>
      <c r="M17" s="10">
        <f>M11*Params!$C$5*(1-Params!$C$3)-Params!$C$4</f>
        <v>10164.6</v>
      </c>
      <c r="N17" s="10">
        <f>N11*Params!$C$5*(1-Params!$C$3)-Params!$C$4</f>
        <v>9677</v>
      </c>
      <c r="O17" s="4"/>
      <c r="P17" s="41">
        <f>SUM(C17:N17)</f>
        <v>60499.999999999993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9677</v>
      </c>
      <c r="J19" s="28">
        <f t="shared" si="1"/>
        <v>10164.6</v>
      </c>
      <c r="K19" s="28">
        <f t="shared" si="1"/>
        <v>10164.6</v>
      </c>
      <c r="L19" s="28">
        <f t="shared" si="1"/>
        <v>10652.2</v>
      </c>
      <c r="M19" s="28">
        <f t="shared" si="1"/>
        <v>10164.6</v>
      </c>
      <c r="N19" s="28">
        <f t="shared" si="1"/>
        <v>9677</v>
      </c>
      <c r="O19" s="5"/>
      <c r="P19" s="42">
        <f>SUM(C19:O19)</f>
        <v>60499.999999999993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>
        <v>5309.42</v>
      </c>
      <c r="J22" s="10">
        <v>5306.85</v>
      </c>
      <c r="K22" s="10">
        <v>5306.85</v>
      </c>
      <c r="L22" s="10">
        <v>5306.85</v>
      </c>
      <c r="M22" s="10">
        <v>5306.85</v>
      </c>
      <c r="N22" s="10">
        <v>5306.85</v>
      </c>
      <c r="O22" s="4"/>
      <c r="P22" s="43">
        <f>SUM(C22:N22)</f>
        <v>31843.67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>
        <f>1186.12+2243.26</f>
        <v>3429.38</v>
      </c>
      <c r="J23" s="10">
        <f>1188.69+2244.36</f>
        <v>3433.05</v>
      </c>
      <c r="K23" s="10">
        <f>1188.69+2245.39</f>
        <v>3434.08</v>
      </c>
      <c r="L23" s="10">
        <f>1188.69+2244.36</f>
        <v>3433.05</v>
      </c>
      <c r="M23" s="10">
        <f>1188.69+2244.36</f>
        <v>3433.05</v>
      </c>
      <c r="N23" s="10">
        <f>1188.69+2244.36</f>
        <v>3433.05</v>
      </c>
      <c r="O23" s="4"/>
      <c r="P23" s="43">
        <f>SUM(C23:N23)</f>
        <v>20595.66</v>
      </c>
    </row>
    <row r="24" spans="2:16" x14ac:dyDescent="0.3">
      <c r="B24" s="55" t="s">
        <v>40</v>
      </c>
      <c r="C24" s="10"/>
      <c r="D24" s="10"/>
      <c r="E24" s="10"/>
      <c r="F24" s="10"/>
      <c r="G24" s="10"/>
      <c r="H24" s="10"/>
      <c r="I24" s="10">
        <v>471.28</v>
      </c>
      <c r="J24" s="10">
        <v>489.84399999999999</v>
      </c>
      <c r="K24" s="10">
        <v>489.84399999999999</v>
      </c>
      <c r="L24" s="10">
        <v>508.40800000000002</v>
      </c>
      <c r="M24" s="10">
        <v>489.84399999999999</v>
      </c>
      <c r="N24" s="10">
        <v>1266.28</v>
      </c>
      <c r="O24" s="4"/>
      <c r="P24" s="43">
        <f>SUM(C24:N24)</f>
        <v>3715.5</v>
      </c>
    </row>
    <row r="25" spans="2:16" x14ac:dyDescent="0.3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9210.08</v>
      </c>
      <c r="J25" s="44">
        <f t="shared" si="2"/>
        <v>9229.7440000000006</v>
      </c>
      <c r="K25" s="44">
        <f t="shared" si="2"/>
        <v>9230.7739999999994</v>
      </c>
      <c r="L25" s="44">
        <f t="shared" si="2"/>
        <v>9248.3080000000009</v>
      </c>
      <c r="M25" s="44">
        <f t="shared" si="2"/>
        <v>9229.7440000000006</v>
      </c>
      <c r="N25" s="44">
        <f t="shared" si="2"/>
        <v>10006.180000000002</v>
      </c>
      <c r="O25" s="4"/>
      <c r="P25" s="60">
        <f>SUM(C25:N25)</f>
        <v>56154.83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  <c r="H27" s="47">
        <f t="shared" si="3"/>
        <v>0</v>
      </c>
      <c r="I27" s="47">
        <f t="shared" si="3"/>
        <v>466.92000000000007</v>
      </c>
      <c r="J27" s="47">
        <f t="shared" si="3"/>
        <v>934.85599999999977</v>
      </c>
      <c r="K27" s="47">
        <f t="shared" si="3"/>
        <v>933.82600000000093</v>
      </c>
      <c r="L27" s="47">
        <f t="shared" si="3"/>
        <v>1403.8919999999998</v>
      </c>
      <c r="M27" s="47">
        <f t="shared" si="3"/>
        <v>934.85599999999977</v>
      </c>
      <c r="N27" s="47">
        <f t="shared" si="3"/>
        <v>-329.18000000000211</v>
      </c>
      <c r="P27" s="59">
        <f>SUM(C27:O27)</f>
        <v>4345.1699999999983</v>
      </c>
    </row>
    <row r="29" spans="2:16" x14ac:dyDescent="0.3">
      <c r="B29" s="62" t="s">
        <v>37</v>
      </c>
      <c r="C29" s="54"/>
      <c r="D29" s="54"/>
      <c r="E29" s="54"/>
      <c r="F29" s="54"/>
      <c r="G29" s="54"/>
      <c r="H29" s="54"/>
      <c r="I29" s="54">
        <v>1040</v>
      </c>
      <c r="J29" s="54">
        <v>1092</v>
      </c>
      <c r="K29" s="54">
        <v>1092</v>
      </c>
      <c r="L29" s="54">
        <v>1144</v>
      </c>
      <c r="M29" s="54">
        <v>1092</v>
      </c>
      <c r="N29" s="54">
        <v>1040</v>
      </c>
      <c r="P29" s="61">
        <f>SUM(C29:N29)</f>
        <v>6500</v>
      </c>
    </row>
    <row r="30" spans="2:16" x14ac:dyDescent="0.3">
      <c r="B30" s="62" t="s">
        <v>38</v>
      </c>
      <c r="C30" s="54"/>
      <c r="D30" s="54"/>
      <c r="E30" s="54"/>
      <c r="F30" s="54"/>
      <c r="G30" s="54"/>
      <c r="H30" s="54"/>
      <c r="I30" s="54">
        <v>471.28</v>
      </c>
      <c r="J30" s="54">
        <v>489.84399999999999</v>
      </c>
      <c r="K30" s="54">
        <v>489.84399999999999</v>
      </c>
      <c r="L30" s="54">
        <v>508.40800000000002</v>
      </c>
      <c r="M30" s="54">
        <v>489.84399999999999</v>
      </c>
      <c r="N30" s="54">
        <v>371.28</v>
      </c>
      <c r="P30" s="61">
        <f>SUM(C30:N30)</f>
        <v>2820.5</v>
      </c>
    </row>
    <row r="32" spans="2:16" x14ac:dyDescent="0.3">
      <c r="N32" s="54" t="s">
        <v>42</v>
      </c>
      <c r="P32" s="61">
        <f>(P29*0.357) + 1395</f>
        <v>3715.5</v>
      </c>
    </row>
    <row r="33" spans="14:16" x14ac:dyDescent="0.3">
      <c r="N33" s="54" t="s">
        <v>43</v>
      </c>
      <c r="P33" s="61">
        <f>P32-P30</f>
        <v>895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C34D2-3A63-4F93-9972-B55EFECA5E23}">
  <dimension ref="B1:P35"/>
  <sheetViews>
    <sheetView topLeftCell="B2" workbookViewId="0">
      <selection activeCell="I20" sqref="I20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8" customWidth="1"/>
  </cols>
  <sheetData>
    <row r="1" spans="2:16" x14ac:dyDescent="0.3">
      <c r="B1" s="65" t="s">
        <v>9</v>
      </c>
    </row>
    <row r="2" spans="2:16" x14ac:dyDescent="0.3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7">
        <f>SUM(C6:N6)</f>
        <v>228</v>
      </c>
    </row>
    <row r="7" spans="2:16" x14ac:dyDescent="0.3">
      <c r="B7" s="9" t="s">
        <v>21</v>
      </c>
      <c r="C7" s="37">
        <v>22</v>
      </c>
      <c r="D7" s="37">
        <v>21</v>
      </c>
      <c r="E7" s="37">
        <v>21</v>
      </c>
      <c r="F7" s="37">
        <v>21</v>
      </c>
      <c r="G7" s="37">
        <v>9</v>
      </c>
      <c r="H7" s="37">
        <v>20</v>
      </c>
      <c r="I7" s="37">
        <v>21</v>
      </c>
      <c r="J7" s="37">
        <v>20</v>
      </c>
      <c r="K7" s="37">
        <v>16</v>
      </c>
      <c r="L7" s="37">
        <v>23</v>
      </c>
      <c r="M7" s="37">
        <v>19</v>
      </c>
      <c r="N7" s="37">
        <v>16</v>
      </c>
      <c r="O7" s="36"/>
      <c r="P7" s="57">
        <f>SUM(C7:N7)</f>
        <v>229</v>
      </c>
    </row>
    <row r="8" spans="2:16" x14ac:dyDescent="0.3">
      <c r="B8" s="18" t="s">
        <v>22</v>
      </c>
      <c r="C8" s="63">
        <f t="shared" ref="C8:N8" si="0">C7-C6</f>
        <v>3</v>
      </c>
      <c r="D8" s="63">
        <f t="shared" si="0"/>
        <v>2</v>
      </c>
      <c r="E8" s="63">
        <f t="shared" si="0"/>
        <v>2</v>
      </c>
      <c r="F8" s="63">
        <f t="shared" si="0"/>
        <v>2</v>
      </c>
      <c r="G8" s="63">
        <f t="shared" si="0"/>
        <v>-10</v>
      </c>
      <c r="H8" s="63">
        <f t="shared" si="0"/>
        <v>1</v>
      </c>
      <c r="I8" s="63">
        <f t="shared" si="0"/>
        <v>2</v>
      </c>
      <c r="J8" s="63">
        <f t="shared" si="0"/>
        <v>1</v>
      </c>
      <c r="K8" s="63">
        <f t="shared" si="0"/>
        <v>-3</v>
      </c>
      <c r="L8" s="63">
        <f t="shared" si="0"/>
        <v>4</v>
      </c>
      <c r="M8" s="63">
        <f t="shared" si="0"/>
        <v>0</v>
      </c>
      <c r="N8" s="63">
        <f t="shared" si="0"/>
        <v>-3</v>
      </c>
      <c r="O8" s="36"/>
      <c r="P8" s="57">
        <f>SUM(C8:N8)</f>
        <v>1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21</v>
      </c>
      <c r="E11" s="11">
        <v>21</v>
      </c>
      <c r="F11" s="11">
        <v>21</v>
      </c>
      <c r="G11" s="11">
        <v>9</v>
      </c>
      <c r="H11" s="11">
        <v>20</v>
      </c>
      <c r="I11" s="11">
        <v>21</v>
      </c>
      <c r="J11" s="11">
        <v>20</v>
      </c>
      <c r="K11" s="11">
        <v>16</v>
      </c>
      <c r="L11" s="11">
        <v>23</v>
      </c>
      <c r="M11" s="11">
        <v>19</v>
      </c>
      <c r="N11" s="11">
        <v>16</v>
      </c>
      <c r="P11" s="58">
        <f>SUM(C11:N11)</f>
        <v>229</v>
      </c>
    </row>
    <row r="12" spans="2:16" x14ac:dyDescent="0.3">
      <c r="B12" s="9" t="s">
        <v>16</v>
      </c>
      <c r="C12" s="12"/>
      <c r="D12" s="12"/>
      <c r="E12" s="12"/>
      <c r="F12" s="12"/>
      <c r="G12" s="12">
        <v>10</v>
      </c>
      <c r="H12" s="12"/>
      <c r="I12" s="12">
        <v>2</v>
      </c>
      <c r="J12" s="12">
        <v>1</v>
      </c>
      <c r="K12" s="12">
        <v>5</v>
      </c>
      <c r="L12" s="12"/>
      <c r="M12" s="12"/>
      <c r="N12" s="12">
        <v>5</v>
      </c>
      <c r="P12" s="58">
        <f>SUM(C12:N12)</f>
        <v>23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C11*Params!$C$5*(1-Params!$C$3)-Params!$C$4</f>
        <v>10652.2</v>
      </c>
      <c r="D17" s="10">
        <f>D11*Params!$C$5*(1-Params!$C$3)-Params!$C$4</f>
        <v>10164.6</v>
      </c>
      <c r="E17" s="10">
        <f>E11*Params!$C$5*(1-Params!$C$3)-Params!$C$4</f>
        <v>10164.6</v>
      </c>
      <c r="F17" s="10">
        <f>F11*Params!$C$5*(1-Params!$C$3)-Params!$C$4</f>
        <v>10164.6</v>
      </c>
      <c r="G17" s="10">
        <f>G11*Params!$C$5*(1-Params!$C$3)-Params!$C$4</f>
        <v>4313.4000000000005</v>
      </c>
      <c r="H17" s="10">
        <f>H11*Params!$C$5*(1-Params!$C$3)-Params!$C$4</f>
        <v>9677</v>
      </c>
      <c r="I17" s="10">
        <f>I11*Params!$C$5*(1-Params!$C$3)-Params!$C$4</f>
        <v>10164.6</v>
      </c>
      <c r="J17" s="10">
        <f>J11*Params!$C$5*(1-Params!$C$3)-Params!$C$4</f>
        <v>9677</v>
      </c>
      <c r="K17" s="10">
        <f>K11*Params!$C$5*(1-Params!$C$3)-Params!$C$4</f>
        <v>7726.6</v>
      </c>
      <c r="L17" s="10">
        <f>L11*Params!$C$5*(1-Params!$C$3)-Params!$C$4</f>
        <v>11139.800000000001</v>
      </c>
      <c r="M17" s="10">
        <f>M11*Params!$C$5*(1-Params!$C$3)-Params!$C$4</f>
        <v>9189.4</v>
      </c>
      <c r="N17" s="10">
        <f>N11*Params!$C$5*(1-Params!$C$3)-Params!$C$4</f>
        <v>7726.6</v>
      </c>
      <c r="O17" s="4"/>
      <c r="P17" s="41">
        <f>SUM(C17:N17)</f>
        <v>110760.40000000001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55" t="s">
        <v>45</v>
      </c>
      <c r="C19" s="64"/>
      <c r="D19" s="64"/>
      <c r="E19" s="64"/>
      <c r="F19" s="64"/>
      <c r="G19" s="64"/>
      <c r="H19" s="64"/>
      <c r="I19" s="64">
        <v>800</v>
      </c>
      <c r="J19" s="64"/>
      <c r="K19" s="64"/>
      <c r="L19" s="64"/>
      <c r="M19" s="64"/>
      <c r="N19" s="64"/>
      <c r="O19" s="4"/>
      <c r="P19" s="41">
        <f>SUM(C19:N19)</f>
        <v>800</v>
      </c>
    </row>
    <row r="20" spans="2:16" x14ac:dyDescent="0.3">
      <c r="B20" s="27" t="s">
        <v>2</v>
      </c>
      <c r="C20" s="28">
        <f t="shared" ref="C20:N20" si="1">SUM(C17:C18)</f>
        <v>10652.2</v>
      </c>
      <c r="D20" s="28">
        <f t="shared" si="1"/>
        <v>10164.6</v>
      </c>
      <c r="E20" s="28">
        <f t="shared" si="1"/>
        <v>10164.6</v>
      </c>
      <c r="F20" s="28">
        <f t="shared" si="1"/>
        <v>10164.6</v>
      </c>
      <c r="G20" s="28">
        <f t="shared" si="1"/>
        <v>4313.4000000000005</v>
      </c>
      <c r="H20" s="28">
        <f t="shared" si="1"/>
        <v>9677</v>
      </c>
      <c r="I20" s="28">
        <f>SUM(I17:I19)</f>
        <v>10964.6</v>
      </c>
      <c r="J20" s="28">
        <f t="shared" si="1"/>
        <v>9677</v>
      </c>
      <c r="K20" s="28">
        <f t="shared" si="1"/>
        <v>7726.6</v>
      </c>
      <c r="L20" s="28">
        <f t="shared" si="1"/>
        <v>11139.800000000001</v>
      </c>
      <c r="M20" s="28">
        <f t="shared" si="1"/>
        <v>9189.4</v>
      </c>
      <c r="N20" s="28">
        <f t="shared" si="1"/>
        <v>7726.6</v>
      </c>
      <c r="O20" s="5"/>
      <c r="P20" s="42">
        <f>SUM(C20:O20)</f>
        <v>111560.40000000001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5297.58</v>
      </c>
      <c r="D23" s="10">
        <v>5297.58</v>
      </c>
      <c r="E23" s="10">
        <v>5297.58</v>
      </c>
      <c r="F23" s="10">
        <v>5297.58</v>
      </c>
      <c r="G23" s="10">
        <v>5297.58</v>
      </c>
      <c r="H23" s="10">
        <v>5297.58</v>
      </c>
      <c r="I23" s="10">
        <v>7553.28</v>
      </c>
      <c r="J23" s="10">
        <v>5297.58</v>
      </c>
      <c r="K23" s="10">
        <v>5297.58</v>
      </c>
      <c r="L23" s="10">
        <v>5297.58</v>
      </c>
      <c r="M23" s="10">
        <v>5297.58</v>
      </c>
      <c r="N23" s="10">
        <v>5297.58</v>
      </c>
      <c r="O23" s="4"/>
      <c r="P23" s="43">
        <f>SUM(C23:N23)</f>
        <v>65826.66</v>
      </c>
    </row>
    <row r="24" spans="2:16" x14ac:dyDescent="0.3">
      <c r="B24" s="9" t="s">
        <v>8</v>
      </c>
      <c r="C24" s="10">
        <f>1202.52+2261.3</f>
        <v>3463.82</v>
      </c>
      <c r="D24" s="10">
        <f>1202.52+2261.3</f>
        <v>3463.82</v>
      </c>
      <c r="E24" s="10">
        <f>1202.52+2261.3</f>
        <v>3463.82</v>
      </c>
      <c r="F24" s="10">
        <f>1202.52+2261.3</f>
        <v>3463.82</v>
      </c>
      <c r="G24" s="10">
        <f>1202.52+2285.68</f>
        <v>3488.2</v>
      </c>
      <c r="H24" s="10">
        <f>1202.52+2296.06</f>
        <v>3498.58</v>
      </c>
      <c r="I24" s="10">
        <f>1706.82+3241.55</f>
        <v>4948.37</v>
      </c>
      <c r="J24" s="10">
        <f>1202.52+2290.46</f>
        <v>3492.98</v>
      </c>
      <c r="K24" s="10">
        <f>1202.52+2289.42</f>
        <v>3491.94</v>
      </c>
      <c r="L24" s="10">
        <f>1202.52+2293.58</f>
        <v>3496.1</v>
      </c>
      <c r="M24" s="10">
        <f>1202.52+2288.39</f>
        <v>3490.91</v>
      </c>
      <c r="N24" s="10">
        <f>1202.52+2288.39</f>
        <v>3490.91</v>
      </c>
      <c r="O24" s="4"/>
      <c r="P24" s="43">
        <f>SUM(C24:N24)</f>
        <v>43253.270000000004</v>
      </c>
    </row>
    <row r="25" spans="2:16" x14ac:dyDescent="0.3">
      <c r="B25" s="55" t="s">
        <v>40</v>
      </c>
      <c r="C25" s="10">
        <v>508.40800000000002</v>
      </c>
      <c r="D25" s="10">
        <v>489.84399999999999</v>
      </c>
      <c r="E25" s="10">
        <v>489.84399999999999</v>
      </c>
      <c r="F25" s="10">
        <v>489.84399999999999</v>
      </c>
      <c r="G25" s="10">
        <v>267.07600000000002</v>
      </c>
      <c r="H25" s="10">
        <v>471.28</v>
      </c>
      <c r="I25" s="10">
        <v>489.84399999999999</v>
      </c>
      <c r="J25" s="10">
        <v>471.28</v>
      </c>
      <c r="K25" s="10">
        <v>397.024</v>
      </c>
      <c r="L25" s="10">
        <v>526.97199999999998</v>
      </c>
      <c r="M25" s="10">
        <v>452.71600000000001</v>
      </c>
      <c r="N25" s="10">
        <v>592.024</v>
      </c>
      <c r="O25" s="4"/>
      <c r="P25" s="43">
        <f>SUM(C25:N25)</f>
        <v>5646.1560000000009</v>
      </c>
    </row>
    <row r="26" spans="2:16" x14ac:dyDescent="0.3">
      <c r="B26" s="55" t="s">
        <v>44</v>
      </c>
      <c r="C26" s="64"/>
      <c r="D26" s="64"/>
      <c r="E26" s="64">
        <v>1253.33</v>
      </c>
      <c r="F26" s="64"/>
      <c r="G26" s="64"/>
      <c r="H26" s="64"/>
      <c r="I26" s="64"/>
      <c r="J26" s="64"/>
      <c r="K26" s="64"/>
      <c r="L26" s="64"/>
      <c r="M26" s="64"/>
      <c r="N26" s="64"/>
      <c r="O26" s="4"/>
      <c r="P26" s="43">
        <f>SUM(C26:N26)</f>
        <v>1253.33</v>
      </c>
    </row>
    <row r="27" spans="2:16" x14ac:dyDescent="0.3">
      <c r="B27" s="8" t="s">
        <v>3</v>
      </c>
      <c r="C27" s="44">
        <f>SUM(C23:C25)</f>
        <v>9269.8079999999991</v>
      </c>
      <c r="D27" s="44">
        <f>SUM(D23:D25)</f>
        <v>9251.2439999999988</v>
      </c>
      <c r="E27" s="44">
        <f t="shared" ref="E27:N27" si="2">SUM(E23:E26)</f>
        <v>10504.573999999999</v>
      </c>
      <c r="F27" s="44">
        <f t="shared" si="2"/>
        <v>9251.2439999999988</v>
      </c>
      <c r="G27" s="44">
        <f t="shared" si="2"/>
        <v>9052.8559999999998</v>
      </c>
      <c r="H27" s="44">
        <f t="shared" si="2"/>
        <v>9267.44</v>
      </c>
      <c r="I27" s="44">
        <f t="shared" si="2"/>
        <v>12991.493999999999</v>
      </c>
      <c r="J27" s="44">
        <f t="shared" si="2"/>
        <v>9261.84</v>
      </c>
      <c r="K27" s="44">
        <f t="shared" si="2"/>
        <v>9186.5439999999999</v>
      </c>
      <c r="L27" s="44">
        <f t="shared" si="2"/>
        <v>9320.652</v>
      </c>
      <c r="M27" s="44">
        <f t="shared" si="2"/>
        <v>9241.2060000000001</v>
      </c>
      <c r="N27" s="44">
        <f t="shared" si="2"/>
        <v>9380.5139999999992</v>
      </c>
      <c r="O27" s="4"/>
      <c r="P27" s="60">
        <f>SUM(C27:N27)</f>
        <v>115979.416</v>
      </c>
    </row>
    <row r="28" spans="2:16" x14ac:dyDescent="0.3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3">
      <c r="B29" s="46" t="s">
        <v>36</v>
      </c>
      <c r="C29" s="47">
        <f t="shared" ref="C29:N29" si="3">C20-C27</f>
        <v>1382.3920000000016</v>
      </c>
      <c r="D29" s="47">
        <f t="shared" si="3"/>
        <v>913.35600000000159</v>
      </c>
      <c r="E29" s="47">
        <f t="shared" si="3"/>
        <v>-339.97399999999834</v>
      </c>
      <c r="F29" s="47">
        <f t="shared" si="3"/>
        <v>913.35600000000159</v>
      </c>
      <c r="G29" s="47">
        <f t="shared" si="3"/>
        <v>-4739.4559999999992</v>
      </c>
      <c r="H29" s="47">
        <f t="shared" si="3"/>
        <v>409.55999999999949</v>
      </c>
      <c r="I29" s="47">
        <f t="shared" si="3"/>
        <v>-2026.8939999999984</v>
      </c>
      <c r="J29" s="47">
        <f t="shared" si="3"/>
        <v>415.15999999999985</v>
      </c>
      <c r="K29" s="47">
        <f t="shared" si="3"/>
        <v>-1459.9439999999995</v>
      </c>
      <c r="L29" s="47">
        <f t="shared" si="3"/>
        <v>1819.148000000001</v>
      </c>
      <c r="M29" s="47">
        <f t="shared" si="3"/>
        <v>-51.806000000000495</v>
      </c>
      <c r="N29" s="47">
        <f t="shared" si="3"/>
        <v>-1653.9139999999989</v>
      </c>
      <c r="P29" s="59">
        <f>SUM(C29:O29)</f>
        <v>-4419.0159999999896</v>
      </c>
    </row>
    <row r="31" spans="2:16" x14ac:dyDescent="0.3">
      <c r="B31" s="62" t="s">
        <v>37</v>
      </c>
      <c r="C31" s="54">
        <v>1144</v>
      </c>
      <c r="D31" s="54">
        <v>1092</v>
      </c>
      <c r="E31" s="54">
        <v>1092</v>
      </c>
      <c r="F31" s="54">
        <v>1092</v>
      </c>
      <c r="G31" s="54">
        <v>468</v>
      </c>
      <c r="H31" s="54">
        <v>1040</v>
      </c>
      <c r="I31" s="54">
        <v>1092</v>
      </c>
      <c r="J31" s="54">
        <v>1040</v>
      </c>
      <c r="K31" s="54">
        <v>832</v>
      </c>
      <c r="L31" s="54">
        <v>1196</v>
      </c>
      <c r="M31" s="54">
        <v>988</v>
      </c>
      <c r="N31" s="54">
        <v>832</v>
      </c>
      <c r="P31" s="61">
        <f>SUM(C31:N31)</f>
        <v>11908</v>
      </c>
    </row>
    <row r="32" spans="2:16" x14ac:dyDescent="0.3">
      <c r="B32" s="62" t="s">
        <v>38</v>
      </c>
      <c r="C32" s="54">
        <v>508.40800000000002</v>
      </c>
      <c r="D32" s="54">
        <v>489.84399999999999</v>
      </c>
      <c r="E32" s="54">
        <v>489.84399999999999</v>
      </c>
      <c r="F32" s="54">
        <v>489.84399999999999</v>
      </c>
      <c r="G32" s="54">
        <v>267.07600000000002</v>
      </c>
      <c r="H32" s="54">
        <v>471.28</v>
      </c>
      <c r="I32" s="54">
        <v>489.84399999999999</v>
      </c>
      <c r="J32" s="54">
        <v>471.28</v>
      </c>
      <c r="K32" s="54">
        <v>397.024</v>
      </c>
      <c r="L32" s="54">
        <v>526.97199999999998</v>
      </c>
      <c r="M32" s="54">
        <v>452.71600000000001</v>
      </c>
      <c r="N32" s="54">
        <v>592.024</v>
      </c>
      <c r="P32" s="61">
        <f>SUM(C32:N32)</f>
        <v>5646.1560000000009</v>
      </c>
    </row>
    <row r="34" spans="14:16" x14ac:dyDescent="0.3">
      <c r="N34" s="54" t="s">
        <v>42</v>
      </c>
      <c r="P34" s="61">
        <f>(P31*0.357) + 1395</f>
        <v>5646.1559999999999</v>
      </c>
    </row>
    <row r="35" spans="14:16" x14ac:dyDescent="0.3">
      <c r="N35" s="54" t="s">
        <v>43</v>
      </c>
      <c r="P35" s="61">
        <f>P34-P32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A0A6A-B12B-44B5-B562-A089EDF72E22}">
  <dimension ref="B1:P35"/>
  <sheetViews>
    <sheetView topLeftCell="B2" workbookViewId="0">
      <selection activeCell="C31" sqref="C31:N32"/>
    </sheetView>
  </sheetViews>
  <sheetFormatPr baseColWidth="10" defaultRowHeight="14.4" x14ac:dyDescent="0.3"/>
  <cols>
    <col min="1" max="1" width="3" customWidth="1"/>
    <col min="2" max="2" width="28" customWidth="1"/>
    <col min="14" max="14" width="20" bestFit="1" customWidth="1"/>
    <col min="15" max="15" width="4" customWidth="1"/>
    <col min="16" max="16" width="11" style="48" customWidth="1"/>
  </cols>
  <sheetData>
    <row r="1" spans="2:16" x14ac:dyDescent="0.3">
      <c r="B1" s="65" t="s">
        <v>9</v>
      </c>
    </row>
    <row r="2" spans="2:16" x14ac:dyDescent="0.3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/>
      <c r="E6" s="35"/>
      <c r="F6" s="37"/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19</v>
      </c>
    </row>
    <row r="7" spans="2:16" x14ac:dyDescent="0.3">
      <c r="B7" s="9" t="s">
        <v>21</v>
      </c>
      <c r="C7" s="37">
        <v>21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21</v>
      </c>
    </row>
    <row r="8" spans="2:16" x14ac:dyDescent="0.3">
      <c r="B8" s="18" t="s">
        <v>22</v>
      </c>
      <c r="C8" s="63">
        <f t="shared" ref="C8:N8" si="0">C7-C6</f>
        <v>2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2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21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P11" s="58">
        <f>SUM(C11:N11)</f>
        <v>21</v>
      </c>
    </row>
    <row r="12" spans="2:16" x14ac:dyDescent="0.3">
      <c r="B12" s="9" t="s">
        <v>16</v>
      </c>
      <c r="C12" s="12">
        <v>1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1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C11*Params!$C$5*(1-Params!$C$3)-Params!$C$4</f>
        <v>10164.6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10164.6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55" t="s">
        <v>45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4"/>
      <c r="P19" s="41">
        <f>SUM(C19:N19)</f>
        <v>0</v>
      </c>
    </row>
    <row r="20" spans="2:16" x14ac:dyDescent="0.3">
      <c r="B20" s="27" t="s">
        <v>2</v>
      </c>
      <c r="C20" s="28">
        <f t="shared" ref="C20:N20" si="1">SUM(C17:C18)</f>
        <v>10164.6</v>
      </c>
      <c r="D20" s="28">
        <f t="shared" si="1"/>
        <v>0</v>
      </c>
      <c r="E20" s="28">
        <f t="shared" si="1"/>
        <v>0</v>
      </c>
      <c r="F20" s="28">
        <f t="shared" si="1"/>
        <v>0</v>
      </c>
      <c r="G20" s="28">
        <f t="shared" si="1"/>
        <v>0</v>
      </c>
      <c r="H20" s="28">
        <f t="shared" si="1"/>
        <v>0</v>
      </c>
      <c r="I20" s="28">
        <f>SUM(I17:I19)</f>
        <v>0</v>
      </c>
      <c r="J20" s="28">
        <f t="shared" si="1"/>
        <v>0</v>
      </c>
      <c r="K20" s="28">
        <f t="shared" si="1"/>
        <v>0</v>
      </c>
      <c r="L20" s="28">
        <f t="shared" si="1"/>
        <v>0</v>
      </c>
      <c r="M20" s="28">
        <f t="shared" si="1"/>
        <v>0</v>
      </c>
      <c r="N20" s="28">
        <f t="shared" si="1"/>
        <v>0</v>
      </c>
      <c r="O20" s="5"/>
      <c r="P20" s="42">
        <f>SUM(C20:O20)</f>
        <v>10164.6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5493.96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5493.96</v>
      </c>
    </row>
    <row r="24" spans="2:16" x14ac:dyDescent="0.3">
      <c r="B24" s="9" t="s">
        <v>8</v>
      </c>
      <c r="C24" s="10">
        <f>1252.93+2383.56</f>
        <v>3636.49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3">
        <f>SUM(C24:N24)</f>
        <v>3636.49</v>
      </c>
    </row>
    <row r="25" spans="2:16" x14ac:dyDescent="0.3">
      <c r="B25" s="55" t="s">
        <v>40</v>
      </c>
      <c r="C25" s="10">
        <v>489.84399999999999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4"/>
      <c r="P25" s="43">
        <f>SUM(C25:N25)</f>
        <v>489.84399999999999</v>
      </c>
    </row>
    <row r="26" spans="2:16" x14ac:dyDescent="0.3">
      <c r="B26" s="55" t="s">
        <v>44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4"/>
      <c r="P26" s="43">
        <f>SUM(C26:N26)</f>
        <v>0</v>
      </c>
    </row>
    <row r="27" spans="2:16" x14ac:dyDescent="0.3">
      <c r="B27" s="8" t="s">
        <v>3</v>
      </c>
      <c r="C27" s="44">
        <f>SUM(C23:C25)</f>
        <v>9620.2939999999999</v>
      </c>
      <c r="D27" s="44">
        <f>SUM(D23:D25)</f>
        <v>0</v>
      </c>
      <c r="E27" s="44">
        <f t="shared" ref="E27:N27" si="2">SUM(E23:E26)</f>
        <v>0</v>
      </c>
      <c r="F27" s="44">
        <f t="shared" si="2"/>
        <v>0</v>
      </c>
      <c r="G27" s="44">
        <f t="shared" si="2"/>
        <v>0</v>
      </c>
      <c r="H27" s="44">
        <f t="shared" si="2"/>
        <v>0</v>
      </c>
      <c r="I27" s="44">
        <f t="shared" si="2"/>
        <v>0</v>
      </c>
      <c r="J27" s="44">
        <f t="shared" si="2"/>
        <v>0</v>
      </c>
      <c r="K27" s="44">
        <f t="shared" si="2"/>
        <v>0</v>
      </c>
      <c r="L27" s="44">
        <f t="shared" si="2"/>
        <v>0</v>
      </c>
      <c r="M27" s="44">
        <f t="shared" si="2"/>
        <v>0</v>
      </c>
      <c r="N27" s="44">
        <f t="shared" si="2"/>
        <v>0</v>
      </c>
      <c r="O27" s="4"/>
      <c r="P27" s="60">
        <f>SUM(C27:N27)</f>
        <v>9620.2939999999999</v>
      </c>
    </row>
    <row r="28" spans="2:16" x14ac:dyDescent="0.3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3">
      <c r="B29" s="46" t="s">
        <v>36</v>
      </c>
      <c r="C29" s="47">
        <f t="shared" ref="C29:N29" si="3">C20-C27</f>
        <v>544.30600000000049</v>
      </c>
      <c r="D29" s="47">
        <f t="shared" si="3"/>
        <v>0</v>
      </c>
      <c r="E29" s="47">
        <f t="shared" si="3"/>
        <v>0</v>
      </c>
      <c r="F29" s="47">
        <f t="shared" si="3"/>
        <v>0</v>
      </c>
      <c r="G29" s="47">
        <f t="shared" si="3"/>
        <v>0</v>
      </c>
      <c r="H29" s="47">
        <f t="shared" si="3"/>
        <v>0</v>
      </c>
      <c r="I29" s="47">
        <f t="shared" si="3"/>
        <v>0</v>
      </c>
      <c r="J29" s="47">
        <f t="shared" si="3"/>
        <v>0</v>
      </c>
      <c r="K29" s="47">
        <f t="shared" si="3"/>
        <v>0</v>
      </c>
      <c r="L29" s="47">
        <f t="shared" si="3"/>
        <v>0</v>
      </c>
      <c r="M29" s="47">
        <f t="shared" si="3"/>
        <v>0</v>
      </c>
      <c r="N29" s="47">
        <f t="shared" si="3"/>
        <v>0</v>
      </c>
      <c r="P29" s="59">
        <f>SUM(C29:O29)</f>
        <v>544.30600000000049</v>
      </c>
    </row>
    <row r="31" spans="2:16" x14ac:dyDescent="0.3">
      <c r="B31" s="62" t="s">
        <v>37</v>
      </c>
      <c r="C31" s="54">
        <v>1092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P31" s="61">
        <f>SUM(C31:N31)</f>
        <v>1092</v>
      </c>
    </row>
    <row r="32" spans="2:16" x14ac:dyDescent="0.3">
      <c r="B32" s="62" t="s">
        <v>38</v>
      </c>
      <c r="C32" s="54">
        <v>489.84399999999999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P32" s="61">
        <f>SUM(C32:N32)</f>
        <v>489.84399999999999</v>
      </c>
    </row>
    <row r="34" spans="14:16" x14ac:dyDescent="0.3">
      <c r="N34" s="54" t="s">
        <v>42</v>
      </c>
      <c r="P34" s="61">
        <f>(P31*0.357) + 1395</f>
        <v>1784.8440000000001</v>
      </c>
    </row>
    <row r="35" spans="14:16" x14ac:dyDescent="0.3">
      <c r="N35" s="54" t="s">
        <v>43</v>
      </c>
      <c r="P35" s="61">
        <f>P34-P32</f>
        <v>1295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tabSelected="1"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7" t="s">
        <v>23</v>
      </c>
      <c r="C2" s="68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530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9" t="s">
        <v>33</v>
      </c>
      <c r="C2" s="69"/>
    </row>
    <row r="3" spans="2:3" ht="16.95" customHeight="1" x14ac:dyDescent="0.3">
      <c r="B3" s="38" t="s">
        <v>34</v>
      </c>
      <c r="C3" s="39">
        <f>'2023'!P27+'2024'!P29+'2025'!P29</f>
        <v>470.46000000000913</v>
      </c>
    </row>
    <row r="4" spans="2:3" ht="16.95" customHeight="1" x14ac:dyDescent="0.3">
      <c r="B4" s="38" t="s">
        <v>39</v>
      </c>
      <c r="C4" s="40">
        <f>'2023'!P12+'2024'!P12+'2025'!P12</f>
        <v>25</v>
      </c>
    </row>
    <row r="5" spans="2:3" x14ac:dyDescent="0.3">
      <c r="B5" t="s">
        <v>46</v>
      </c>
      <c r="C5">
        <f>(2.08*19)-C4</f>
        <v>14.520000000000003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105</vt:i4>
      </vt:variant>
    </vt:vector>
  </HeadingPairs>
  <TitlesOfParts>
    <vt:vector size="110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'2023'!NOMBRE_KM</vt:lpstr>
      <vt:lpstr>'2024'!NOMBRE_KM</vt:lpstr>
      <vt:lpstr>'2025'!NOMBRE_KM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'2023'!SORTIES_FRAIS_KM</vt:lpstr>
      <vt:lpstr>'2024'!SORTIES_FRAIS_KM</vt:lpstr>
      <vt:lpstr>'2025'!SORTIES_FRAIS_KM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2025-02-05T22:18:07Z</dcterms:modified>
</cp:coreProperties>
</file>