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94B53F02-8100-465D-8318-A091EF0D08D7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'2022'!$B$29</definedName>
    <definedName name="SOLDE" localSheetId="1">'2023'!$B$30</definedName>
    <definedName name="SOLDE" localSheetId="2">'2024'!$B$30</definedName>
    <definedName name="SORTIES" localSheetId="0">'2022'!$B$21</definedName>
    <definedName name="SORTIES" localSheetId="1">'2023'!$B$21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 localSheetId="2">'2024'!$B$26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17" i="15" l="1"/>
  <c r="C4" i="13"/>
  <c r="M30" i="15"/>
  <c r="L30" i="15"/>
  <c r="K30" i="15"/>
  <c r="C30" i="15"/>
  <c r="P28" i="15"/>
  <c r="M26" i="15"/>
  <c r="L26" i="15"/>
  <c r="K26" i="15"/>
  <c r="J26" i="15"/>
  <c r="I26" i="15"/>
  <c r="G26" i="15"/>
  <c r="C26" i="15"/>
  <c r="P25" i="15"/>
  <c r="P24" i="15"/>
  <c r="N23" i="15"/>
  <c r="N26" i="15" s="1"/>
  <c r="I23" i="15"/>
  <c r="H23" i="15"/>
  <c r="H26" i="15" s="1"/>
  <c r="G23" i="15"/>
  <c r="F23" i="15"/>
  <c r="F26" i="15" s="1"/>
  <c r="E23" i="15"/>
  <c r="E26" i="15" s="1"/>
  <c r="D23" i="15"/>
  <c r="D26" i="15" s="1"/>
  <c r="C23" i="15"/>
  <c r="P23" i="15" s="1"/>
  <c r="P22" i="15"/>
  <c r="M19" i="15"/>
  <c r="L19" i="15"/>
  <c r="K19" i="15"/>
  <c r="J19" i="15"/>
  <c r="J30" i="15" s="1"/>
  <c r="H19" i="15"/>
  <c r="H30" i="15" s="1"/>
  <c r="C19" i="15"/>
  <c r="P18" i="15"/>
  <c r="N19" i="15"/>
  <c r="N30" i="15" s="1"/>
  <c r="C3" i="13" s="1"/>
  <c r="I17" i="15"/>
  <c r="I19" i="15" s="1"/>
  <c r="I30" i="15" s="1"/>
  <c r="H17" i="15"/>
  <c r="G17" i="15"/>
  <c r="G19" i="15" s="1"/>
  <c r="G30" i="15" s="1"/>
  <c r="F17" i="15"/>
  <c r="F19" i="15" s="1"/>
  <c r="F30" i="15" s="1"/>
  <c r="E17" i="15"/>
  <c r="E19" i="15" s="1"/>
  <c r="E30" i="15" s="1"/>
  <c r="D17" i="15"/>
  <c r="D19" i="15" s="1"/>
  <c r="D30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28" i="14"/>
  <c r="L26" i="14"/>
  <c r="K26" i="14"/>
  <c r="J26" i="14"/>
  <c r="H26" i="14"/>
  <c r="D26" i="14"/>
  <c r="C26" i="14"/>
  <c r="P25" i="14"/>
  <c r="P24" i="14"/>
  <c r="N23" i="14"/>
  <c r="N26" i="14" s="1"/>
  <c r="M23" i="14"/>
  <c r="M26" i="14" s="1"/>
  <c r="L23" i="14"/>
  <c r="K23" i="14"/>
  <c r="J23" i="14"/>
  <c r="I23" i="14"/>
  <c r="I26" i="14" s="1"/>
  <c r="H23" i="14"/>
  <c r="G23" i="14"/>
  <c r="P23" i="14" s="1"/>
  <c r="F23" i="14"/>
  <c r="F26" i="14" s="1"/>
  <c r="E23" i="14"/>
  <c r="E26" i="14" s="1"/>
  <c r="D23" i="14"/>
  <c r="C23" i="14"/>
  <c r="P22" i="14"/>
  <c r="I19" i="14"/>
  <c r="I30" i="14" s="1"/>
  <c r="H19" i="14"/>
  <c r="H30" i="14" s="1"/>
  <c r="G19" i="14"/>
  <c r="P18" i="14"/>
  <c r="N17" i="14"/>
  <c r="N19" i="14" s="1"/>
  <c r="N30" i="14" s="1"/>
  <c r="M17" i="14"/>
  <c r="M19" i="14" s="1"/>
  <c r="M30" i="14" s="1"/>
  <c r="L17" i="14"/>
  <c r="L19" i="14" s="1"/>
  <c r="L30" i="14" s="1"/>
  <c r="K17" i="14"/>
  <c r="K19" i="14" s="1"/>
  <c r="K30" i="14" s="1"/>
  <c r="J17" i="14"/>
  <c r="J19" i="14" s="1"/>
  <c r="J30" i="14" s="1"/>
  <c r="I17" i="14"/>
  <c r="H17" i="14"/>
  <c r="G17" i="14"/>
  <c r="F17" i="14"/>
  <c r="F19" i="14" s="1"/>
  <c r="F30" i="14" s="1"/>
  <c r="E17" i="14"/>
  <c r="E19" i="14" s="1"/>
  <c r="E30" i="14" s="1"/>
  <c r="D17" i="14"/>
  <c r="D19" i="14" s="1"/>
  <c r="D30" i="14" s="1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E29" i="12"/>
  <c r="P27" i="12"/>
  <c r="M25" i="12"/>
  <c r="L25" i="12"/>
  <c r="K25" i="12"/>
  <c r="K29" i="12" s="1"/>
  <c r="J25" i="12"/>
  <c r="I25" i="12"/>
  <c r="I29" i="12" s="1"/>
  <c r="H25" i="12"/>
  <c r="G25" i="12"/>
  <c r="F25" i="12"/>
  <c r="E25" i="12"/>
  <c r="D25" i="12"/>
  <c r="C25" i="12"/>
  <c r="C29" i="12" s="1"/>
  <c r="P24" i="12"/>
  <c r="P23" i="12"/>
  <c r="N23" i="12"/>
  <c r="N25" i="12" s="1"/>
  <c r="M23" i="12"/>
  <c r="L23" i="12"/>
  <c r="P22" i="12"/>
  <c r="N19" i="12"/>
  <c r="K19" i="12"/>
  <c r="J19" i="12"/>
  <c r="J29" i="12" s="1"/>
  <c r="I19" i="12"/>
  <c r="H19" i="12"/>
  <c r="H29" i="12" s="1"/>
  <c r="G19" i="12"/>
  <c r="G29" i="12" s="1"/>
  <c r="F19" i="12"/>
  <c r="E19" i="12"/>
  <c r="D19" i="12"/>
  <c r="D29" i="12" s="1"/>
  <c r="C19" i="12"/>
  <c r="P18" i="12"/>
  <c r="N17" i="12"/>
  <c r="M17" i="12"/>
  <c r="M19" i="12" s="1"/>
  <c r="M29" i="12" s="1"/>
  <c r="L17" i="12"/>
  <c r="L19" i="12" s="1"/>
  <c r="L29" i="12" s="1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P17" i="15" l="1"/>
  <c r="P19" i="15"/>
  <c r="P26" i="15"/>
  <c r="N29" i="12"/>
  <c r="P30" i="15"/>
  <c r="P19" i="12"/>
  <c r="P19" i="14"/>
  <c r="C30" i="14"/>
  <c r="F29" i="12"/>
  <c r="P29" i="12" s="1"/>
  <c r="P17" i="14"/>
  <c r="P17" i="12"/>
  <c r="P25" i="12"/>
  <c r="G26" i="14"/>
  <c r="G30" i="14" s="1"/>
  <c r="P26" i="14" l="1"/>
  <c r="P3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youss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M18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N24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Avance sur salaire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C2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remboursé a partir du févier 2024 (500 Euro par mois)</t>
        </r>
      </text>
    </comment>
  </commentList>
</comments>
</file>

<file path=xl/sharedStrings.xml><?xml version="1.0" encoding="utf-8"?>
<sst xmlns="http://schemas.openxmlformats.org/spreadsheetml/2006/main" count="115" uniqueCount="44">
  <si>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</si>
  <si>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</si>
  <si>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</si>
  <si>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</si>
  <si>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</si>
  <si>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</si>
  <si>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</si>
  <si>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</si>
  <si>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</si>
  <si>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</si>
  <si>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</si>
  <si>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</si>
  <si>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</si>
  <si>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</si>
  <si>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</si>
  <si>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</si>
  <si>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</si>
  <si>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</si>
  <si>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</si>
  <si>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</si>
  <si>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</si>
  <si>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</si>
  <si>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</si>
  <si>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</si>
  <si>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</si>
  <si>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</si>
  <si>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</si>
  <si>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</si>
  <si>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</si>
  <si>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</si>
  <si>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</si>
  <si>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</si>
  <si>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</si>
  <si>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</si>
  <si>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</si>
  <si>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</si>
  <si>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</si>
  <si>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</si>
  <si>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</si>
  <si>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</si>
  <si>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</si>
  <si>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</si>
  <si>
    <t>Achat HT</t>
  </si>
  <si>
    <t>TJM (Decembre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</si>
</sst>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opLeftCell="D1" workbookViewId="0">
      <selection activeCell="E36" sqref="E3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3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3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0"/>
  <sheetViews>
    <sheetView workbookViewId="0">
      <selection activeCell="L22" sqref="L22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20</v>
      </c>
      <c r="F7" s="37">
        <v>19</v>
      </c>
      <c r="G7" s="37">
        <v>23</v>
      </c>
      <c r="H7" s="37">
        <v>22</v>
      </c>
      <c r="I7" s="37">
        <v>21</v>
      </c>
      <c r="J7" s="37">
        <v>23</v>
      </c>
      <c r="K7" s="37">
        <v>21</v>
      </c>
      <c r="L7" s="37">
        <v>22</v>
      </c>
      <c r="M7" s="37">
        <v>19</v>
      </c>
      <c r="N7" s="37">
        <v>20</v>
      </c>
      <c r="O7" s="36"/>
      <c r="P7" s="57">
        <f>SUM(C7:N7)</f>
        <v>252</v>
      </c>
    </row>
    <row r="8" spans="2:16" x14ac:dyDescent="0.3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4</v>
      </c>
      <c r="H8" s="61">
        <f t="shared" si="0"/>
        <v>3</v>
      </c>
      <c r="I8" s="61">
        <f t="shared" si="0"/>
        <v>2</v>
      </c>
      <c r="J8" s="61">
        <f t="shared" si="0"/>
        <v>4</v>
      </c>
      <c r="K8" s="61">
        <f t="shared" si="0"/>
        <v>2</v>
      </c>
      <c r="L8" s="61">
        <f t="shared" si="0"/>
        <v>3</v>
      </c>
      <c r="M8" s="61">
        <f t="shared" si="0"/>
        <v>0</v>
      </c>
      <c r="N8" s="61">
        <f t="shared" si="0"/>
        <v>1</v>
      </c>
      <c r="O8" s="36"/>
      <c r="P8" s="57">
        <f>SUM(C8:N8)</f>
        <v>24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20</v>
      </c>
      <c r="F11" s="11">
        <v>19</v>
      </c>
      <c r="G11" s="11">
        <v>19</v>
      </c>
      <c r="H11" s="11">
        <v>22</v>
      </c>
      <c r="I11" s="11">
        <v>21</v>
      </c>
      <c r="J11" s="11">
        <v>22</v>
      </c>
      <c r="K11" s="11">
        <v>21</v>
      </c>
      <c r="L11" s="11">
        <v>22</v>
      </c>
      <c r="M11" s="11">
        <v>19</v>
      </c>
      <c r="N11" s="11">
        <v>20</v>
      </c>
      <c r="P11" s="58">
        <f>SUM(C11:N11)</f>
        <v>247</v>
      </c>
    </row>
    <row r="12" spans="2:16" x14ac:dyDescent="0.3">
      <c r="B12" s="9" t="s">
        <v>16</v>
      </c>
      <c r="C12" s="12"/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>
        <v>2</v>
      </c>
      <c r="N12" s="12"/>
      <c r="P12" s="58">
        <f>SUM(C12:N12)</f>
        <v>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>
        <v>1</v>
      </c>
      <c r="J14" s="23">
        <v>1</v>
      </c>
      <c r="K14" s="23"/>
      <c r="L14" s="23"/>
      <c r="M14" s="23">
        <v>1</v>
      </c>
      <c r="N14" s="23"/>
      <c r="P14" s="58">
        <f>SUM(C14:N14)</f>
        <v>8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7791</v>
      </c>
      <c r="G17" s="10">
        <f>G11*Params!$C$5*(1-Params!$C$3)-Params!$C$4</f>
        <v>7791</v>
      </c>
      <c r="H17" s="10">
        <f>H11*Params!$C$5*(1-Params!$C$3)-Params!$C$4</f>
        <v>9033</v>
      </c>
      <c r="I17" s="10">
        <f>I11*Params!$C$5*(1-Params!$C$3)-Params!$C$4</f>
        <v>8619</v>
      </c>
      <c r="J17" s="10">
        <f>J11*Params!$C$5*(1-Params!$C$3)-Params!$C$4</f>
        <v>9033</v>
      </c>
      <c r="K17" s="10">
        <f>K11*Params!$C$5*(1-Params!$C$3)-Params!$C$4</f>
        <v>8619</v>
      </c>
      <c r="L17" s="10">
        <f>L11*Params!$C$5*(1-Params!$C$3)-Params!$C$4</f>
        <v>9033</v>
      </c>
      <c r="M17" s="10">
        <f>M11*Params!$C$5*(1-Params!$C$3)-Params!$C$4</f>
        <v>7791</v>
      </c>
      <c r="N17" s="10">
        <f>N11*Params!$C$5*(1-Params!$C$3)-Params!$C$4</f>
        <v>8205</v>
      </c>
      <c r="O17" s="4"/>
      <c r="P17" s="41">
        <f>SUM(C17:N17)</f>
        <v>101358</v>
      </c>
    </row>
    <row r="18" spans="2:16" x14ac:dyDescent="0.3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>
        <v>900</v>
      </c>
      <c r="J18" s="10">
        <v>900</v>
      </c>
      <c r="K18" s="10"/>
      <c r="L18" s="10"/>
      <c r="M18" s="10">
        <v>900</v>
      </c>
      <c r="N18" s="10"/>
      <c r="O18" s="4"/>
      <c r="P18" s="41">
        <f>SUM(C18:N18)</f>
        <v>7200</v>
      </c>
    </row>
    <row r="19" spans="2:16" x14ac:dyDescent="0.3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8691</v>
      </c>
      <c r="G19" s="28">
        <f t="shared" si="1"/>
        <v>11391</v>
      </c>
      <c r="H19" s="28">
        <f t="shared" si="1"/>
        <v>9033</v>
      </c>
      <c r="I19" s="28">
        <f t="shared" si="1"/>
        <v>9519</v>
      </c>
      <c r="J19" s="28">
        <f t="shared" si="1"/>
        <v>9933</v>
      </c>
      <c r="K19" s="28">
        <f t="shared" si="1"/>
        <v>8619</v>
      </c>
      <c r="L19" s="28">
        <f t="shared" si="1"/>
        <v>9033</v>
      </c>
      <c r="M19" s="28">
        <f t="shared" si="1"/>
        <v>8691</v>
      </c>
      <c r="N19" s="28">
        <f t="shared" si="1"/>
        <v>8205</v>
      </c>
      <c r="O19" s="5"/>
      <c r="P19" s="42">
        <f>SUM(C19:N19)</f>
        <v>108558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5017.92</v>
      </c>
      <c r="D22" s="10">
        <v>5022.84</v>
      </c>
      <c r="E22" s="10">
        <v>5043.62</v>
      </c>
      <c r="F22" s="10">
        <v>5043.62</v>
      </c>
      <c r="G22" s="10">
        <v>5043.62</v>
      </c>
      <c r="H22" s="10">
        <v>5043.62</v>
      </c>
      <c r="I22" s="10">
        <v>5043.62</v>
      </c>
      <c r="J22" s="10">
        <v>5043.62</v>
      </c>
      <c r="K22" s="10">
        <v>5043.62</v>
      </c>
      <c r="L22" s="10">
        <v>7543.62</v>
      </c>
      <c r="M22" s="10">
        <v>5043.62</v>
      </c>
      <c r="N22" s="10">
        <v>5043.62</v>
      </c>
      <c r="O22" s="4"/>
      <c r="P22" s="43">
        <f>SUM(C22:N22)</f>
        <v>62976.960000000014</v>
      </c>
    </row>
    <row r="23" spans="2:16" x14ac:dyDescent="0.3">
      <c r="B23" s="9" t="s">
        <v>8</v>
      </c>
      <c r="C23" s="10">
        <f>1091.2+1834.21</f>
        <v>2925.41</v>
      </c>
      <c r="D23" s="10">
        <f>1092.28+1835.95</f>
        <v>2928.23</v>
      </c>
      <c r="E23" s="10">
        <f>1029.5+1736.67</f>
        <v>2766.17</v>
      </c>
      <c r="F23" s="10">
        <f>1029.5+1744.56</f>
        <v>2774.06</v>
      </c>
      <c r="G23" s="10">
        <f>1029.5+1739.17</f>
        <v>2768.67</v>
      </c>
      <c r="H23" s="10">
        <f t="shared" ref="H23:M23" si="2">1029.5+1737.92</f>
        <v>2767.42</v>
      </c>
      <c r="I23" s="10">
        <f t="shared" si="2"/>
        <v>2767.42</v>
      </c>
      <c r="J23" s="10">
        <f t="shared" si="2"/>
        <v>2767.42</v>
      </c>
      <c r="K23" s="10">
        <f t="shared" si="2"/>
        <v>2767.42</v>
      </c>
      <c r="L23" s="10">
        <f t="shared" si="2"/>
        <v>2767.42</v>
      </c>
      <c r="M23" s="10">
        <f t="shared" si="2"/>
        <v>2767.42</v>
      </c>
      <c r="N23" s="10">
        <f>1029.5+1743.17</f>
        <v>2772.67</v>
      </c>
      <c r="O23" s="4"/>
      <c r="P23" s="43">
        <f>SUM(C23:N23)</f>
        <v>33539.729999999989</v>
      </c>
    </row>
    <row r="24" spans="2:16" x14ac:dyDescent="0.3">
      <c r="B24" s="54" t="s">
        <v>38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3500</v>
      </c>
      <c r="K24" s="10">
        <v>0</v>
      </c>
      <c r="L24" s="10">
        <v>0</v>
      </c>
      <c r="M24" s="10">
        <v>0</v>
      </c>
      <c r="N24" s="10">
        <v>500</v>
      </c>
      <c r="O24" s="4"/>
      <c r="P24" s="43">
        <f>SUM(C24:N24)</f>
        <v>4000</v>
      </c>
    </row>
    <row r="25" spans="2:16" x14ac:dyDescent="0.3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3">
      <c r="B26" s="8" t="s">
        <v>3</v>
      </c>
      <c r="C26" s="44">
        <f t="shared" ref="C26:N26" si="3">SUM(C22:C25)</f>
        <v>7943.33</v>
      </c>
      <c r="D26" s="44">
        <f t="shared" si="3"/>
        <v>9291.9</v>
      </c>
      <c r="E26" s="44">
        <f t="shared" si="3"/>
        <v>7809.79</v>
      </c>
      <c r="F26" s="44">
        <f t="shared" si="3"/>
        <v>7817.68</v>
      </c>
      <c r="G26" s="44">
        <f t="shared" si="3"/>
        <v>7812.29</v>
      </c>
      <c r="H26" s="44">
        <f t="shared" si="3"/>
        <v>7811.04</v>
      </c>
      <c r="I26" s="44">
        <f t="shared" si="3"/>
        <v>7811.04</v>
      </c>
      <c r="J26" s="44">
        <f t="shared" si="3"/>
        <v>11311.04</v>
      </c>
      <c r="K26" s="44">
        <f t="shared" si="3"/>
        <v>7811.04</v>
      </c>
      <c r="L26" s="44">
        <f t="shared" si="3"/>
        <v>10311.040000000001</v>
      </c>
      <c r="M26" s="44">
        <f t="shared" si="3"/>
        <v>7811.04</v>
      </c>
      <c r="N26" s="44">
        <f t="shared" si="3"/>
        <v>8316.2900000000009</v>
      </c>
      <c r="O26" s="4"/>
      <c r="P26" s="60">
        <f>SUM(C26:N26)</f>
        <v>101857.51999999999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>
        <v>3500</v>
      </c>
      <c r="K28" s="64"/>
      <c r="L28" s="64"/>
      <c r="M28" s="64"/>
      <c r="N28" s="64"/>
      <c r="P28" s="65">
        <f>SUM(C28:N28)+'2022'!P27</f>
        <v>4700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4">C19-C26</f>
        <v>1089.67</v>
      </c>
      <c r="D30" s="47">
        <f t="shared" si="4"/>
        <v>-1086.8999999999996</v>
      </c>
      <c r="E30" s="47">
        <f t="shared" si="4"/>
        <v>395.21000000000004</v>
      </c>
      <c r="F30" s="47">
        <f t="shared" si="4"/>
        <v>873.31999999999971</v>
      </c>
      <c r="G30" s="47">
        <f t="shared" si="4"/>
        <v>3578.71</v>
      </c>
      <c r="H30" s="47">
        <f t="shared" si="4"/>
        <v>1221.96</v>
      </c>
      <c r="I30" s="47">
        <f t="shared" si="4"/>
        <v>1707.96</v>
      </c>
      <c r="J30" s="47">
        <f t="shared" si="4"/>
        <v>-1378.0400000000009</v>
      </c>
      <c r="K30" s="47">
        <f t="shared" si="4"/>
        <v>807.96</v>
      </c>
      <c r="L30" s="47">
        <f t="shared" si="4"/>
        <v>-1278.0400000000009</v>
      </c>
      <c r="M30" s="47">
        <f t="shared" si="4"/>
        <v>879.96</v>
      </c>
      <c r="N30" s="47">
        <f t="shared" si="4"/>
        <v>-111.29000000000087</v>
      </c>
      <c r="P30" s="59">
        <f>SUM(C30:N30)</f>
        <v>6700.4799999999977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0"/>
  <sheetViews>
    <sheetView tabSelected="1" workbookViewId="0">
      <selection activeCell="N18" sqref="N18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14</v>
      </c>
      <c r="J6" s="37"/>
      <c r="K6" s="37"/>
      <c r="L6" s="37"/>
      <c r="M6" s="37"/>
      <c r="N6" s="37">
        <v>11</v>
      </c>
      <c r="O6" s="36"/>
      <c r="P6" s="57">
        <f>SUM(C6:N6)</f>
        <v>139</v>
      </c>
    </row>
    <row r="7" spans="2:16" x14ac:dyDescent="0.3">
      <c r="B7" s="9" t="s">
        <v>21</v>
      </c>
      <c r="C7" s="37">
        <v>22</v>
      </c>
      <c r="D7" s="37">
        <v>20</v>
      </c>
      <c r="E7" s="37">
        <v>20</v>
      </c>
      <c r="F7" s="37">
        <v>21</v>
      </c>
      <c r="G7" s="37">
        <v>23</v>
      </c>
      <c r="H7" s="37">
        <v>20</v>
      </c>
      <c r="I7" s="37">
        <v>23</v>
      </c>
      <c r="J7" s="37"/>
      <c r="K7" s="37"/>
      <c r="L7" s="37"/>
      <c r="M7" s="37"/>
      <c r="N7" s="37">
        <v>11</v>
      </c>
      <c r="O7" s="36"/>
      <c r="P7" s="57">
        <f>SUM(C7:N7)</f>
        <v>160</v>
      </c>
    </row>
    <row r="8" spans="2:16" x14ac:dyDescent="0.3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2</v>
      </c>
      <c r="G8" s="61">
        <f t="shared" si="0"/>
        <v>4</v>
      </c>
      <c r="H8" s="61">
        <f t="shared" si="0"/>
        <v>1</v>
      </c>
      <c r="I8" s="61">
        <f t="shared" si="0"/>
        <v>9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36"/>
      <c r="P8" s="57">
        <f>SUM(C8:N8)</f>
        <v>21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20</v>
      </c>
      <c r="F11" s="11">
        <v>21</v>
      </c>
      <c r="G11" s="11">
        <v>23</v>
      </c>
      <c r="H11" s="11">
        <v>20</v>
      </c>
      <c r="I11" s="11">
        <v>23</v>
      </c>
      <c r="J11" s="11"/>
      <c r="K11" s="11"/>
      <c r="L11" s="11"/>
      <c r="M11" s="11"/>
      <c r="N11" s="11">
        <v>11</v>
      </c>
      <c r="P11" s="58">
        <f>SUM(C11:N11)</f>
        <v>160</v>
      </c>
    </row>
    <row r="12" spans="2:16" x14ac:dyDescent="0.3">
      <c r="B12" s="9" t="s">
        <v>16</v>
      </c>
      <c r="C12" s="12"/>
      <c r="D12" s="12">
        <v>1</v>
      </c>
      <c r="E12" s="12">
        <v>1</v>
      </c>
      <c r="F12" s="12"/>
      <c r="G12" s="12"/>
      <c r="H12" s="12">
        <v>12.5</v>
      </c>
      <c r="I12" s="12">
        <v>10</v>
      </c>
      <c r="J12" s="12"/>
      <c r="K12" s="12"/>
      <c r="L12" s="12"/>
      <c r="M12" s="12"/>
      <c r="N12" s="12"/>
      <c r="P12" s="58">
        <f>SUM(C12:N12)</f>
        <v>24.5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/>
      <c r="J14" s="23"/>
      <c r="K14" s="23"/>
      <c r="L14" s="23"/>
      <c r="M14" s="23"/>
      <c r="N14" s="23"/>
      <c r="P14" s="58">
        <f>SUM(C14:N14)</f>
        <v>5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8619</v>
      </c>
      <c r="G17" s="10">
        <f>G11*Params!$C$5*(1-Params!$C$3)-Params!$C$4</f>
        <v>9447</v>
      </c>
      <c r="H17" s="10">
        <f>H11*Params!$C$5*(1-Params!$C$3)-Params!$C$4</f>
        <v>8205</v>
      </c>
      <c r="I17" s="10">
        <f>I11*Params!$C$5*(1-Params!$C$3)-Params!$C$4</f>
        <v>9447</v>
      </c>
      <c r="J17" s="10"/>
      <c r="K17" s="10"/>
      <c r="L17" s="10"/>
      <c r="M17" s="10"/>
      <c r="N17" s="10">
        <f>N11*Params!$C$6*(1-Params!$C$3)-Params!$C$4</f>
        <v>5491</v>
      </c>
      <c r="O17" s="4"/>
      <c r="P17" s="41">
        <f>SUM(C17:N17)</f>
        <v>66652</v>
      </c>
    </row>
    <row r="18" spans="2:16" x14ac:dyDescent="0.3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/>
      <c r="J18" s="10"/>
      <c r="K18" s="10"/>
      <c r="L18" s="10"/>
      <c r="M18" s="10"/>
      <c r="N18" s="10"/>
      <c r="O18" s="4"/>
      <c r="P18" s="41">
        <f>SUM(C18:N18)</f>
        <v>4500</v>
      </c>
    </row>
    <row r="19" spans="2:16" x14ac:dyDescent="0.3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9519</v>
      </c>
      <c r="G19" s="28">
        <f t="shared" si="1"/>
        <v>13047</v>
      </c>
      <c r="H19" s="28">
        <f t="shared" si="1"/>
        <v>8205</v>
      </c>
      <c r="I19" s="28">
        <f t="shared" si="1"/>
        <v>9447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5491</v>
      </c>
      <c r="O19" s="5"/>
      <c r="P19" s="42">
        <f>SUM(C19:O19)</f>
        <v>71152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5456.47</v>
      </c>
      <c r="D22" s="10">
        <v>4956.47</v>
      </c>
      <c r="E22" s="10">
        <v>4956.47</v>
      </c>
      <c r="F22" s="10">
        <v>4956.47</v>
      </c>
      <c r="G22" s="10">
        <v>4956.47</v>
      </c>
      <c r="H22" s="10">
        <v>7896.72</v>
      </c>
      <c r="I22" s="10">
        <v>9374.68</v>
      </c>
      <c r="J22" s="10"/>
      <c r="K22" s="10"/>
      <c r="L22" s="10"/>
      <c r="M22" s="10"/>
      <c r="N22" s="10">
        <v>3262.86</v>
      </c>
      <c r="O22" s="4"/>
      <c r="P22" s="43">
        <f>SUM(C22:N22)</f>
        <v>45816.61</v>
      </c>
    </row>
    <row r="23" spans="2:16" x14ac:dyDescent="0.3">
      <c r="B23" s="9" t="s">
        <v>8</v>
      </c>
      <c r="C23" s="10">
        <f>1123.62+1899.92</f>
        <v>3023.54</v>
      </c>
      <c r="D23" s="10">
        <f>1123.62+1899.92</f>
        <v>3023.54</v>
      </c>
      <c r="E23" s="10">
        <f>1123.62+1902.56</f>
        <v>3026.18</v>
      </c>
      <c r="F23" s="10">
        <f>1123.62+1902.56</f>
        <v>3026.18</v>
      </c>
      <c r="G23" s="10">
        <f>1123.62+1924.27</f>
        <v>3047.89</v>
      </c>
      <c r="H23" s="10">
        <f>1783.37+5143.07</f>
        <v>6926.44</v>
      </c>
      <c r="I23" s="10">
        <f>1462.12+2936.57</f>
        <v>4398.6900000000005</v>
      </c>
      <c r="J23" s="10"/>
      <c r="K23" s="10"/>
      <c r="L23" s="10"/>
      <c r="M23" s="10"/>
      <c r="N23" s="10">
        <f>681.61+1347.89</f>
        <v>2029.5</v>
      </c>
      <c r="O23" s="4"/>
      <c r="P23" s="43">
        <f>SUM(C23:N23)</f>
        <v>28501.96</v>
      </c>
    </row>
    <row r="24" spans="2:16" x14ac:dyDescent="0.3">
      <c r="B24" s="54" t="s">
        <v>38</v>
      </c>
      <c r="C24" s="55">
        <v>3000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6"/>
      <c r="O24" s="4"/>
      <c r="P24" s="43">
        <f>SUM(C24:N24)</f>
        <v>3000</v>
      </c>
    </row>
    <row r="25" spans="2:16" x14ac:dyDescent="0.3">
      <c r="B25" s="9" t="s">
        <v>42</v>
      </c>
      <c r="C25" s="10"/>
      <c r="D25" s="10"/>
      <c r="E25" s="10">
        <v>1232.5</v>
      </c>
      <c r="F25" s="10"/>
      <c r="G25" s="10"/>
      <c r="H25" s="10">
        <v>1874.17</v>
      </c>
      <c r="I25" s="10"/>
      <c r="J25" s="10"/>
      <c r="K25" s="10"/>
      <c r="L25" s="10"/>
      <c r="M25" s="10"/>
      <c r="N25" s="10"/>
      <c r="O25" s="4"/>
      <c r="P25" s="43">
        <f>SUM(C25:N25)</f>
        <v>3106.67</v>
      </c>
    </row>
    <row r="26" spans="2:16" x14ac:dyDescent="0.3">
      <c r="B26" s="8" t="s">
        <v>3</v>
      </c>
      <c r="C26" s="44">
        <f>SUM(C22:C24)</f>
        <v>11480.01</v>
      </c>
      <c r="D26" s="44">
        <f>SUM(D22:D24)</f>
        <v>7980.01</v>
      </c>
      <c r="E26" s="44">
        <f t="shared" ref="E26:N26" si="2">SUM(E22:E25)</f>
        <v>9215.15</v>
      </c>
      <c r="F26" s="44">
        <f t="shared" si="2"/>
        <v>7982.65</v>
      </c>
      <c r="G26" s="44">
        <f t="shared" si="2"/>
        <v>8004.3600000000006</v>
      </c>
      <c r="H26" s="44">
        <f t="shared" si="2"/>
        <v>16697.330000000002</v>
      </c>
      <c r="I26" s="44">
        <f t="shared" si="2"/>
        <v>13773.37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5292.3600000000006</v>
      </c>
      <c r="O26" s="4"/>
      <c r="P26" s="60">
        <f>SUM(C26:N26)</f>
        <v>80425.240000000005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63" t="s">
        <v>39</v>
      </c>
      <c r="C28" s="64"/>
      <c r="D28" s="64">
        <v>500</v>
      </c>
      <c r="E28" s="64">
        <v>500</v>
      </c>
      <c r="F28" s="64">
        <v>500</v>
      </c>
      <c r="G28" s="64"/>
      <c r="H28" s="64"/>
      <c r="I28" s="64"/>
      <c r="J28" s="64"/>
      <c r="K28" s="64"/>
      <c r="L28" s="64"/>
      <c r="M28" s="64"/>
      <c r="N28" s="64"/>
      <c r="P28" s="65">
        <f>SUM(C28:N28)</f>
        <v>1500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3">C19-C26</f>
        <v>-2447.0100000000002</v>
      </c>
      <c r="D30" s="47">
        <f t="shared" si="3"/>
        <v>224.98999999999978</v>
      </c>
      <c r="E30" s="47">
        <f t="shared" si="3"/>
        <v>-1010.1499999999996</v>
      </c>
      <c r="F30" s="47">
        <f t="shared" si="3"/>
        <v>1536.3500000000004</v>
      </c>
      <c r="G30" s="47">
        <f t="shared" si="3"/>
        <v>5042.6399999999994</v>
      </c>
      <c r="H30" s="47">
        <f t="shared" si="3"/>
        <v>-8492.3300000000017</v>
      </c>
      <c r="I30" s="47">
        <f t="shared" si="3"/>
        <v>-4326.3700000000008</v>
      </c>
      <c r="J30" s="47">
        <f t="shared" si="3"/>
        <v>0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198.63999999999942</v>
      </c>
      <c r="P30" s="59">
        <f>SUM(C30:O30)</f>
        <v>-9273.2400000000034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9" t="s">
        <v>23</v>
      </c>
      <c r="C2" s="70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40</v>
      </c>
      <c r="C5" s="33">
        <v>450</v>
      </c>
    </row>
    <row r="6" spans="2:3" x14ac:dyDescent="0.3">
      <c r="B6" s="33" t="s">
        <v>43</v>
      </c>
      <c r="C6" s="33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4"/>
  <sheetViews>
    <sheetView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1" t="s">
        <v>33</v>
      </c>
      <c r="C2" s="71"/>
    </row>
    <row r="3" spans="2:3" ht="16.95" customHeight="1" x14ac:dyDescent="0.3">
      <c r="B3" s="38" t="s">
        <v>34</v>
      </c>
      <c r="C3" s="39">
        <f>'2024'!N30</f>
        <v>198.63999999999942</v>
      </c>
    </row>
    <row r="4" spans="2:3" ht="16.95" customHeight="1" x14ac:dyDescent="0.3">
      <c r="B4" s="38" t="s">
        <v>37</v>
      </c>
      <c r="C4" s="40">
        <f>'2024'!N12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97</vt:i4>
      </vt:variant>
    </vt:vector>
  </HeadingPairs>
  <TitlesOfParts>
    <vt:vector size="102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'2023'!SORTIES_FRAIS_KM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2025-01-03T20:48:06Z</dcterms:modified>
</cp:coreProperties>
</file>