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13_ncr:1_{10B1C405-D03A-404C-B9C7-48412B459FCC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'2024'!$B$35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'2024'!$B$34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'2024'!$B$32</x:definedName>
    <x:definedName name="SORTIES" localSheetId="0">'2023'!$B$21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'2024'!$B$27</x:definedName>
    <x:definedName name="SORTIES_CHARGES_SOCIALES_PATRONALES">#REF!</x:definedName>
    <x:definedName name="SORTIES_FRAIS_KM" localSheetId="0">'2023'!$B$24</x:definedName>
    <x:definedName name="SORTIES_FRAIS_KM" localSheetId="1">'2024'!$B$28</x:definedName>
    <x:definedName name="SORTIES_FRAIS_PEE_AMUNDI" localSheetId="0">'2023'!#REF!</x:definedName>
    <x:definedName name="SORTIES_FRAIS_PEE_AMUNDI" localSheetId="1">'2024'!$B$26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INTERESSEMENT_CSG_CRDS">'2024'!$B$25</x:definedName>
    <x:definedName name="SORTIES_INTERESSEMENT_NET">'2024'!$B$24</x:definedName>
    <x:definedName name="SORTIES_SALAIRE_NET" localSheetId="0">'2023'!$B$22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>#REF!</x:definedName>
    <x:definedName name="TOTAL_SORTIES" localSheetId="0">'2023'!$B$25</x:definedName>
    <x:definedName name="TOTAL_SORTIES" localSheetId="1">'2024'!$B$30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<sst xmlns="http://schemas.openxmlformats.org/spreadsheetml/2006/main" count="88" uniqueCount="48">
  <si>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</si>
  <si>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</si>
  <si>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</si>
  <si>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</si>
  <si>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</si>
  <si>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</si>
  <si>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</si>
  <si>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</si>
  <si>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</si>
  <si>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</si>
  <si>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</si>
  <si>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</si>
  <si>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</si>
  <si>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</si>
  <si>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</si>
  <si>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</si>
  <si>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</si>
  <si>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</si>
  <si>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</si>
  <si>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</si>
  <si>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</si>
  <si>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</si>
  <si>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</si>
  <si>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</si>
  <si>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</si>
  <si>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</si>
  <si>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</si>
  <si>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</si>
  <si>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</si>
  <si>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</si>
  <si>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</si>
  <si>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</si>
  <si>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</si>
  <si>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</si>
  <si>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</si>
  <si>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</si>
  <si>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</si>
  <si>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</si>
  <si>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</si>
  <si>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</si>
  <si>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</si>
  <si>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</si>
  <si>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</si>
  <si>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</si>
  <si>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Frais Refacturés</t>
  </si>
  <si>
    <t>Intéressement Net</t>
  </si>
  <si>
    <t>CSG/CRDS Intéressement</t>
  </si>
  <si>
    <t>Frais PEE Amundi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</si>
</sst>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3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sz val="11"/>
      <x:name val="Calibri"/>
      <x:family val="2"/>
      <x:scheme val="minor"/>
    </x:font>
    <x:font>
      <x:sz val="10.5"/>
      <x:color rgb="FFFF0000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4" fontId="1" fillId="0" borderId="2" xfId="0" applyNumberFormat="1" applyFont="1" applyBorder="1" applyAlignment="1">
      <x:alignment horizontal="center" vertical="center"/>
    </x:xf>
    <x:xf numFmtId="0" fontId="11" fillId="0" borderId="5" xfId="0" applyFont="1" applyBorder="1" applyProtection="1">
      <x:protection locked="0"/>
    </x:xf>
    <x:xf numFmtId="0" fontId="10" fillId="0" borderId="5" xfId="0" applyFont="1" applyBorder="1" applyProtection="1">
      <x:protection locked="0"/>
    </x:xf>
    <x:xf numFmtId="0" fontId="10" fillId="0" borderId="2" xfId="0" applyFont="1" applyBorder="1" applyProtection="1">
      <x:protection locked="0"/>
    </x:xf>
    <x:xf numFmtId="4" fontId="12" fillId="4" borderId="5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3"/>
  <x:sheetViews>
    <x:sheetView topLeftCell="B2" workbookViewId="0">
      <x:selection activeCell="P32" sqref="P32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70" t="s">
        <x:v>9</x:v>
      </x:c>
    </x:row>
    <x:row r="2" spans="2:16" x14ac:dyDescent="0.3">
      <x:c r="B2" s="7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18</x:v>
      </x:c>
      <x:c r="K6" s="37">
        <x:v>18</x:v>
      </x:c>
      <x:c r="L6" s="37">
        <x:v>18</x:v>
      </x:c>
      <x:c r="M6" s="37">
        <x:v>18</x:v>
      </x:c>
      <x:c r="N6" s="37">
        <x:v>18</x:v>
      </x:c>
      <x:c r="O6" s="36"/>
      <x:c r="P6" s="57">
        <x:f>SUM(C6:N6)</x:f>
        <x:v>90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18</x:v>
      </x:c>
      <x:c r="K7" s="37">
        <x:v>21</x:v>
      </x:c>
      <x:c r="L7" s="37">
        <x:v>20</x:v>
      </x:c>
      <x:c r="M7" s="37">
        <x:v>21</x:v>
      </x:c>
      <x:c r="N7" s="37">
        <x:v>20</x:v>
      </x:c>
      <x:c r="O7" s="36"/>
      <x:c r="P7" s="57">
        <x:f>SUM(C7:N7)</x:f>
        <x:v>100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0</x:v>
      </x:c>
      <x:c r="K8" s="63">
        <x:f t="shared" si="0"/>
        <x:v>3</x:v>
      </x:c>
      <x:c r="L8" s="63">
        <x:f t="shared" si="0"/>
        <x:v>2</x:v>
      </x:c>
      <x:c r="M8" s="63">
        <x:f t="shared" si="0"/>
        <x:v>3</x:v>
      </x:c>
      <x:c r="N8" s="63">
        <x:f t="shared" si="0"/>
        <x:v>2</x:v>
      </x:c>
      <x:c r="O8" s="36"/>
      <x:c r="P8" s="57">
        <x:f>SUM(C8:N8)</x:f>
        <x:v>10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18</x:v>
      </x:c>
      <x:c r="K11" s="11">
        <x:v>21</x:v>
      </x:c>
      <x:c r="L11" s="11">
        <x:v>20</x:v>
      </x:c>
      <x:c r="M11" s="11">
        <x:v>21</x:v>
      </x:c>
      <x:c r="N11" s="11">
        <x:v>20</x:v>
      </x:c>
      <x:c r="P11" s="58">
        <x:f>SUM(C11:N11)</x:f>
        <x:v>100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>
        <x:v>2</x:v>
      </x:c>
      <x:c r="M12" s="12"/>
      <x:c r="N12" s="12"/>
      <x:c r="P12" s="58">
        <x:f>SUM(C12:N12)</x:f>
        <x:v>2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  <x:v>10357.800000000001</x:v>
      </x:c>
      <x:c r="K17" s="10">
        <x:f>K11*Params!$C$5*(1-Params!$C$3)-Params!$C$4</x:f>
        <x:v>12096.6</x:v>
      </x:c>
      <x:c r="L17" s="10">
        <x:f>L11*Params!$C$5*(1-Params!$C$3)-Params!$C$4</x:f>
        <x:v>11517</x:v>
      </x:c>
      <x:c r="M17" s="10">
        <x:f>M11*Params!$C$5*(1-Params!$C$3)-Params!$C$4</x:f>
        <x:v>12096.6</x:v>
      </x:c>
      <x:c r="N17" s="10">
        <x:f>N11*Params!$C$5*(1-Params!$C$3)-Params!$C$4</x:f>
        <x:v>11517</x:v>
      </x:c>
      <x:c r="O17" s="4"/>
      <x:c r="P17" s="41">
        <x:f>SUM(C17:N17)</x:f>
        <x:v>57585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10357.800000000001</x:v>
      </x:c>
      <x:c r="K19" s="28">
        <x:f t="shared" si="1"/>
        <x:v>12096.6</x:v>
      </x:c>
      <x:c r="L19" s="28">
        <x:f t="shared" si="1"/>
        <x:v>11517</x:v>
      </x:c>
      <x:c r="M19" s="28">
        <x:f t="shared" si="1"/>
        <x:v>12096.6</x:v>
      </x:c>
      <x:c r="N19" s="28">
        <x:f t="shared" si="1"/>
        <x:v>11517</x:v>
      </x:c>
      <x:c r="O19" s="5"/>
      <x:c r="P19" s="42">
        <x:f>SUM(C19:O19)</x:f>
        <x:v>57585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5468.8</x:v>
      </x:c>
      <x:c r="K22" s="10">
        <x:v>6210.89</x:v>
      </x:c>
      <x:c r="L22" s="10">
        <x:v>6210.89</x:v>
      </x:c>
      <x:c r="M22" s="10">
        <x:v>6210.89</x:v>
      </x:c>
      <x:c r="N22" s="10">
        <x:v>6210.89</x:v>
      </x:c>
      <x:c r="O22" s="4"/>
      <x:c r="P22" s="43">
        <x:f>SUM(C22:N22)</x:f>
        <x:v>30312.36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1124.13+2248.07</x:f>
        <x:v>3372.2000000000003</x:v>
      </x:c>
      <x:c r="K23" s="10">
        <x:f>1275.35+2548.69</x:f>
        <x:v>3824.04</x:v>
      </x:c>
      <x:c r="L23" s="10">
        <x:f>1275.35+2548.69</x:f>
        <x:v>3824.04</x:v>
      </x:c>
      <x:c r="M23" s="10">
        <x:f>1275.35+2553.8</x:f>
        <x:v>3829.15</x:v>
      </x:c>
      <x:c r="N23" s="10">
        <x:f>1275.35+2548.69</x:f>
        <x:v>3824.04</x:v>
      </x:c>
      <x:c r="O23" s="4"/>
      <x:c r="P23" s="43">
        <x:f>SUM(C23:N23)</x:f>
        <x:v>18673.469999999998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318.48399999999998</x:v>
      </x:c>
      <x:c r="K24" s="10">
        <x:v>354.89800000000002</x:v>
      </x:c>
      <x:c r="L24" s="10">
        <x:v>342.76</x:v>
      </x:c>
      <x:c r="M24" s="10">
        <x:v>354.89800000000002</x:v>
      </x:c>
      <x:c r="N24" s="10">
        <x:v>791.36</x:v>
      </x:c>
      <x:c r="O24" s="4"/>
      <x:c r="P24" s="43">
        <x:f>SUM(C24:N24)</x:f>
        <x:v>2162.4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9159.4840000000004</x:v>
      </x:c>
      <x:c r="K25" s="44">
        <x:f t="shared" si="2"/>
        <x:v>10389.828</x:v>
      </x:c>
      <x:c r="L25" s="44">
        <x:f t="shared" si="2"/>
        <x:v>10377.69</x:v>
      </x:c>
      <x:c r="M25" s="44">
        <x:f t="shared" si="2"/>
        <x:v>10394.938</x:v>
      </x:c>
      <x:c r="N25" s="44">
        <x:f t="shared" si="2"/>
        <x:v>10826.29</x:v>
      </x:c>
      <x:c r="O25" s="4"/>
      <x:c r="P25" s="60">
        <x:f>SUM(C25:N25)</x:f>
        <x:v>51148.23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1198.3160000000007</x:v>
      </x:c>
      <x:c r="K27" s="47">
        <x:f t="shared" si="3"/>
        <x:v>1706.7720000000008</x:v>
      </x:c>
      <x:c r="L27" s="47">
        <x:f t="shared" si="3"/>
        <x:v>1139.3099999999995</x:v>
      </x:c>
      <x:c r="M27" s="47">
        <x:f t="shared" si="3"/>
        <x:v>1701.6620000000003</x:v>
      </x:c>
      <x:c r="N27" s="47">
        <x:f t="shared" si="3"/>
        <x:v>690.70999999999913</x:v>
      </x:c>
      <x:c r="P27" s="59">
        <x:f>SUM(C27:O27)</x:f>
        <x:v>6436.77</x:v>
      </x:c>
    </x:row>
    <x:row r="29" spans="2:16" x14ac:dyDescent="0.3">
      <x:c r="B29" s="62" t="s">
        <x:v>37</x:v>
      </x:c>
      <x:c r="C29" s="54"/>
      <x:c r="D29" s="54"/>
      <x:c r="E29" s="54"/>
      <x:c r="F29" s="54"/>
      <x:c r="G29" s="54"/>
      <x:c r="H29" s="54"/>
      <x:c r="I29" s="54"/>
      <x:c r="J29" s="54">
        <x:v>612</x:v>
      </x:c>
      <x:c r="K29" s="54">
        <x:v>714</x:v>
      </x:c>
      <x:c r="L29" s="54">
        <x:v>680</x:v>
      </x:c>
      <x:c r="M29" s="54">
        <x:v>714</x:v>
      </x:c>
      <x:c r="N29" s="54">
        <x:v>680</x:v>
      </x:c>
      <x:c r="P29" s="61">
        <x:f>SUM(C29:N29)</x:f>
        <x:v>3400</x:v>
      </x:c>
    </x:row>
    <x:row r="30" spans="2:16" x14ac:dyDescent="0.3">
      <x:c r="B30" s="62" t="s">
        <x:v>38</x:v>
      </x:c>
      <x:c r="C30" s="54"/>
      <x:c r="D30" s="54"/>
      <x:c r="E30" s="54"/>
      <x:c r="F30" s="54"/>
      <x:c r="G30" s="54"/>
      <x:c r="H30" s="54"/>
      <x:c r="I30" s="54"/>
      <x:c r="J30" s="54">
        <x:v>318.48399999999998</x:v>
      </x:c>
      <x:c r="K30" s="54">
        <x:v>354.89800000000002</x:v>
      </x:c>
      <x:c r="L30" s="54">
        <x:v>342.76</x:v>
      </x:c>
      <x:c r="M30" s="54">
        <x:v>354.89800000000002</x:v>
      </x:c>
      <x:c r="N30" s="54">
        <x:v>242.76</x:v>
      </x:c>
      <x:c r="P30" s="61">
        <x:f>SUM(C30:N30)</x:f>
        <x:v>1613.8</x:v>
      </x:c>
    </x:row>
    <x:row r="32" spans="2:16" x14ac:dyDescent="0.3">
      <x:c r="N32" s="54" t="s">
        <x:v>42</x:v>
      </x:c>
      <x:c r="P32" s="61">
        <x:f>P29*0.636</x:f>
        <x:v>2162.4</x:v>
      </x:c>
    </x:row>
    <x:row r="33" spans="14:16" x14ac:dyDescent="0.3">
      <x:c r="N33" s="54" t="s">
        <x:v>43</x:v>
      </x:c>
      <x:c r="P33" s="61">
        <x:f>P32-P30</x:f>
        <x:v>548.60000000000014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901F970-CCEB-4894-9459-86AA93450B85}" mc:Ignorable="x14ac xr xr2 xr3">
  <x:dimension ref="B1:P38"/>
  <x:sheetViews>
    <x:sheetView tabSelected="1" workbookViewId="0">
      <x:selection activeCell="N37" sqref="N37:P38"/>
    </x:sheetView>
  </x:sheetViews>
  <x:sheetFormatPr baseColWidth="10" defaultRowHeight="14.4"/>
  <x:cols>
    <x:col min="1" max="1" width="3" customWidth="1"/>
    <x:col min="2" max="2" width="28" customWidth="1"/>
    <x:col min="14" max="14" width="20.21875" bestFit="1" customWidth="1"/>
    <x:col min="15" max="15" width="4" customWidth="1"/>
    <x:col min="16" max="16" width="11" style="48" customWidth="1"/>
  </x:cols>
  <x:sheetData>
    <x:row r="1">
      <x:c r="B1" s="70" t="s">
        <x:v>9</x:v>
      </x:c>
    </x:row>
    <x:row r="2">
      <x:c r="B2" s="7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18</x:v>
      </x:c>
      <x:c r="D6" s="35">
        <x:v>18</x:v>
      </x:c>
      <x:c r="E6" s="35">
        <x:v>18</x:v>
      </x:c>
      <x:c r="F6" s="37">
        <x:v>18</x:v>
      </x:c>
      <x:c r="G6" s="37">
        <x:v>18</x:v>
      </x:c>
      <x:c r="H6" s="37">
        <x:v>18</x:v>
      </x:c>
      <x:c r="I6" s="37">
        <x:v>18</x:v>
      </x:c>
      <x:c r="J6" s="37">
        <x:v>13</x:v>
      </x:c>
      <x:c r="K6" s="37">
        <x:v>18</x:v>
      </x:c>
      <x:c r="L6" s="37">
        <x:v>18</x:v>
      </x:c>
      <x:c r="M6" s="37">
        <x:v>18</x:v>
      </x:c>
      <x:c r="N6" s="37">
        <x:v>18</x:v>
      </x:c>
      <x:c r="O6" s="36"/>
      <x:c r="P6" s="57">
        <x:f>SUM(C6:N6)</x:f>
        <x:v>193</x:v>
      </x:c>
    </x:row>
    <x:row r="7">
      <x:c r="B7" s="9" t="s">
        <x:v>21</x:v>
      </x:c>
      <x:c r="C7" s="37">
        <x:v>20</x:v>
      </x:c>
      <x:c r="D7" s="37">
        <x:v>17</x:v>
      </x:c>
      <x:c r="E7" s="37">
        <x:v>21</x:v>
      </x:c>
      <x:c r="F7" s="37">
        <x:v>20</x:v>
      </x:c>
      <x:c r="G7" s="37">
        <x:v>12</x:v>
      </x:c>
      <x:c r="H7" s="37">
        <x:v>20</x:v>
      </x:c>
      <x:c r="I7" s="37">
        <x:v>7</x:v>
      </x:c>
      <x:c r="J7" s="37">
        <x:v>13</x:v>
      </x:c>
      <x:c r="K7" s="37">
        <x:v>21</x:v>
      </x:c>
      <x:c r="L7" s="37">
        <x:v>23</x:v>
      </x:c>
      <x:c r="M7" s="37">
        <x:v>19</x:v>
      </x:c>
      <x:c r="N7" s="37">
        <x:v>21</x:v>
      </x:c>
      <x:c r="O7" s="36"/>
      <x:c r="P7" s="57">
        <x:f>SUM(C7:N7)</x:f>
        <x:v>193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20</x:v>
      </x:c>
      <x:c r="D11" s="11">
        <x:v>17</x:v>
      </x:c>
      <x:c r="E11" s="11">
        <x:v>21</x:v>
      </x:c>
      <x:c r="F11" s="11">
        <x:v>20</x:v>
      </x:c>
      <x:c r="G11" s="11">
        <x:v>12</x:v>
      </x:c>
      <x:c r="H11" s="11">
        <x:v>20</x:v>
      </x:c>
      <x:c r="I11" s="11">
        <x:v>7</x:v>
      </x:c>
      <x:c r="J11" s="11">
        <x:v>13</x:v>
      </x:c>
      <x:c r="K11" s="11">
        <x:v>21</x:v>
      </x:c>
      <x:c r="L11" s="11">
        <x:v>23</x:v>
      </x:c>
      <x:c r="M11" s="11">
        <x:v>19</x:v>
      </x:c>
      <x:c r="N11" s="11">
        <x:v>21</x:v>
      </x:c>
      <x:c r="P11" s="58">
        <x:f>SUM(C11:N11)</x:f>
        <x:v>193</x:v>
      </x:c>
    </x:row>
    <x:row r="12">
      <x:c r="B12" s="9" t="s">
        <x:v>16</x:v>
      </x:c>
      <x:c r="C12" s="12">
        <x:v>2</x:v>
      </x:c>
      <x:c r="D12" s="12">
        <x:v>4</x:v>
      </x:c>
      <x:c r="E12" s="12"/>
      <x:c r="F12" s="12">
        <x:v>1</x:v>
      </x:c>
      <x:c r="G12" s="12">
        <x:v>8</x:v>
      </x:c>
      <x:c r="H12" s="12"/>
      <x:c r="I12" s="12">
        <x:v>16</x:v>
      </x:c>
      <x:c r="J12" s="12">
        <x:v>8</x:v>
      </x:c>
      <x:c r="K12" s="12"/>
      <x:c r="L12" s="12"/>
      <x:c r="M12" s="12"/>
      <x:c r="N12" s="12"/>
      <x:c r="P12" s="58">
        <x:f>SUM(C12:N12)</x:f>
        <x:v>39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11517</x:v>
      </x:c>
      <x:c r="D17" s="10">
        <x:f>D11*Params!$C$5*(1-Params!$C$3)-Params!$C$4</x:f>
        <x:v>9778.2</x:v>
      </x:c>
      <x:c r="E17" s="10">
        <x:f>E11*Params!$C$5*(1-Params!$C$3)-Params!$C$4</x:f>
        <x:v>12096.6</x:v>
      </x:c>
      <x:c r="F17" s="10">
        <x:f>F11*Params!$C$5*(1-Params!$C$3)-Params!$C$4</x:f>
        <x:v>11517</x:v>
      </x:c>
      <x:c r="G17" s="10">
        <x:f>G11*Params!$C$5*(1-Params!$C$3)-Params!$C$4</x:f>
        <x:v>6880.200000000001</x:v>
      </x:c>
      <x:c r="H17" s="10">
        <x:f>H11*Params!$C$5*(1-Params!$C$3)-Params!$C$4</x:f>
        <x:v>11517</x:v>
      </x:c>
      <x:c r="I17" s="10">
        <x:f>I11*Params!$C$5*(1-Params!$C$3)-Params!$C$4</x:f>
        <x:v>3982.2000000000003</x:v>
      </x:c>
      <x:c r="J17" s="10">
        <x:f>J11*Params!$C$5*(1-Params!$C$3)-Params!$C$4</x:f>
        <x:v>7459.8</x:v>
      </x:c>
      <x:c r="K17" s="10">
        <x:f>K11*Params!$C$5*(1-Params!$C$3)-Params!$C$4</x:f>
        <x:v>12096.6</x:v>
      </x:c>
      <x:c r="L17" s="10">
        <x:f>L11*Params!$C$5*(1-Params!$C$3)-Params!$C$4</x:f>
        <x:v>13255.800000000001</x:v>
      </x:c>
      <x:c r="M17" s="10">
        <x:f>M11*Params!$C$5*(1-Params!$C$3)-Params!$C$4</x:f>
        <x:v>10937.4</x:v>
      </x:c>
      <x:c r="N17" s="10">
        <x:f>N11*Params!$C$5*(1-Params!$C$3)-Params!$C$4</x:f>
      </x:c>
      <x:c r="O17" s="4"/>
      <x:c r="P17" s="41">
        <x:f>SUM(C17:N17)</x:f>
        <x:v>111037.8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55" t="s">
        <x:v>44</x:v>
      </x:c>
      <x:c r="C19" s="64"/>
      <x:c r="D19" s="64">
        <x:v>209.33</x:v>
      </x:c>
      <x:c r="E19" s="64"/>
      <x:c r="F19" s="64"/>
      <x:c r="G19" s="64"/>
      <x:c r="H19" s="64"/>
      <x:c r="I19" s="64"/>
      <x:c r="J19" s="64"/>
      <x:c r="K19" s="64"/>
      <x:c r="L19" s="64"/>
      <x:c r="M19" s="64"/>
      <x:c r="N19" s="64"/>
      <x:c r="O19" s="4"/>
      <x:c r="P19" s="65"/>
    </x:row>
    <x:row r="20">
      <x:c r="B20" s="27" t="s">
        <x:v>2</x:v>
      </x:c>
      <x:c r="C20" s="28">
        <x:f>SUM(C17:C18)</x:f>
      </x:c>
      <x:c r="D20" s="28">
        <x:f>SUM(D17:D18)</x:f>
      </x:c>
      <x:c r="E20" s="28">
        <x:f>SUM(E17:E18)</x:f>
      </x:c>
      <x:c r="F20" s="28">
        <x:f>SUM(F17:F18)</x:f>
      </x:c>
      <x:c r="G20" s="28">
        <x:f>SUM(G17:G18)</x:f>
      </x:c>
      <x:c r="H20" s="28">
        <x:f>SUM(H17:H18)</x:f>
      </x:c>
      <x:c r="I20" s="28">
        <x:f>SUM(I17:I18)</x:f>
      </x:c>
      <x:c r="J20" s="28">
        <x:f>SUM(J17:J18)</x:f>
      </x:c>
      <x:c r="K20" s="28">
        <x:f>SUM(K17:K18)</x:f>
      </x:c>
      <x:c r="L20" s="28">
        <x:f>SUM(L17:L18)</x:f>
      </x:c>
      <x:c r="M20" s="28">
        <x:f>SUM(M17:M18)</x:f>
      </x:c>
      <x:c r="N20" s="28">
        <x:f>SUM(N17:N18)</x:f>
      </x:c>
      <x:c r="O20" s="5"/>
      <x:c r="P20" s="42">
        <x:f>SUM(C20:O20)</x:f>
        <x:v>111037.8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6201.74</x:v>
      </x:c>
      <x:c r="D23" s="10">
        <x:v>6201.74</x:v>
      </x:c>
      <x:c r="E23" s="10">
        <x:v>6201.74</x:v>
      </x:c>
      <x:c r="F23" s="10">
        <x:v>6201.74</x:v>
      </x:c>
      <x:c r="G23" s="10">
        <x:v>6201.74</x:v>
      </x:c>
      <x:c r="H23" s="10">
        <x:v>6201.74</x:v>
      </x:c>
      <x:c r="I23" s="10">
        <x:v>6201.74</x:v>
      </x:c>
      <x:c r="J23" s="10">
        <x:v>6258.03</x:v>
      </x:c>
      <x:c r="K23" s="10">
        <x:v>6201.74</x:v>
      </x:c>
      <x:c r="L23" s="10">
        <x:v>5074.42</x:v>
      </x:c>
      <x:c r="M23" s="10">
        <x:v>5074.42</x:v>
      </x:c>
      <x:c r="N23" s="10">
        <x:v>5074.42</x:v>
      </x:c>
      <x:c r="O23" s="4"/>
      <x:c r="P23" s="43">
        <x:f>SUM(C23:N23)</x:f>
        <x:v>66020.79</x:v>
      </x:c>
    </x:row>
    <x:row r="24">
      <x:c r="B24" s="66" t="s">
        <x:v>45</x:v>
      </x:c>
      <x:c r="C24" s="10"/>
      <x:c r="D24" s="10"/>
      <x:c r="E24" s="10"/>
      <x:c r="F24" s="10"/>
      <x:c r="G24" s="10"/>
      <x:c r="H24" s="10"/>
      <x:c r="I24" s="10"/>
      <x:c r="J24" s="10"/>
      <x:c r="K24" s="10"/>
      <x:c r="L24" s="10">
        <x:f>(6242.13/5)*(1-9.7%)</x:f>
        <x:v>1127.328678</x:v>
      </x:c>
      <x:c r="M24" s="10">
        <x:f>(6242.13/5)*(1-9.7%)</x:f>
        <x:v>1127.328678</x:v>
      </x:c>
      <x:c r="N24" s="10"/>
      <x:c r="O24" s="4"/>
      <x:c r="P24" s="43"/>
    </x:row>
    <x:row r="25">
      <x:c r="B25" s="67" t="s">
        <x:v>46</x:v>
      </x:c>
      <x:c r="C25" s="10"/>
      <x:c r="D25" s="10"/>
      <x:c r="E25" s="10"/>
      <x:c r="F25" s="10"/>
      <x:c r="G25" s="10"/>
      <x:c r="H25" s="10"/>
      <x:c r="I25" s="10"/>
      <x:c r="J25" s="10"/>
      <x:c r="K25" s="10"/>
      <x:c r="L25" s="69">
        <x:f>(6242.13/5)*9.7%</x:f>
        <x:v>121.09732199999998</x:v>
      </x:c>
      <x:c r="M25" s="69">
        <x:f>(6242.13/5)*9.7%</x:f>
        <x:v>121.09732199999998</x:v>
      </x:c>
      <x:c r="N25" s="10"/>
      <x:c r="O25" s="4"/>
      <x:c r="P25" s="43"/>
    </x:row>
    <x:row r="26">
      <x:c r="B26" s="68" t="s">
        <x:v>47</x:v>
      </x:c>
      <x:c r="C26" s="10"/>
      <x:c r="D26" s="10"/>
      <x:c r="E26" s="10"/>
      <x:c r="F26" s="10"/>
      <x:c r="G26" s="10"/>
      <x:c r="H26" s="10"/>
      <x:c r="I26" s="10"/>
      <x:c r="J26" s="10"/>
      <x:c r="K26" s="10"/>
      <x:c r="L26" s="69">
        <x:f>L24*0.02</x:f>
        <x:v>22.546573560000002</x:v>
      </x:c>
      <x:c r="M26" s="69">
        <x:f>M24*0.02</x:f>
        <x:v>22.546573560000002</x:v>
      </x:c>
      <x:c r="N26" s="10"/>
      <x:c r="O26" s="4"/>
      <x:c r="P26" s="43"/>
    </x:row>
    <x:row r="27">
      <x:c r="B27" s="9" t="s">
        <x:v>8</x:v>
      </x:c>
      <x:c r="C27" s="10">
        <x:f>1288.82+2566.24</x:f>
        <x:v>3855.0599999999995</x:v>
      </x:c>
      <x:c r="D27" s="10">
        <x:f>1288.82+2571.35</x:f>
        <x:v>3860.17</x:v>
      </x:c>
      <x:c r="E27" s="10">
        <x:f>1288.82+2576.48</x:f>
        <x:v>3865.3</x:v>
      </x:c>
      <x:c r="F27" s="10">
        <x:f>1288.82+2566.24</x:f>
        <x:v>3855.0599999999995</x:v>
      </x:c>
      <x:c r="G27" s="10">
        <x:f>1288.82+2596.89</x:f>
        <x:v>3885.71</x:v>
      </x:c>
      <x:c r="H27" s="10">
        <x:f>1288.82+2614.82</x:f>
        <x:v>3903.6400000000003</x:v>
      </x:c>
      <x:c r="I27" s="10">
        <x:f>1288.82+2597.46</x:f>
        <x:v>3886.2799999999997</x:v>
      </x:c>
      <x:c r="J27" s="10">
        <x:f>1307.44+2664.28</x:f>
        <x:v>3971.7200000000003</x:v>
      </x:c>
      <x:c r="K27" s="10">
        <x:f>1288.82+2617.95</x:f>
        <x:v>3906.7699999999995</x:v>
      </x:c>
      <x:c r="L27" s="10">
        <x:f>1167.71+2597.46</x:f>
        <x:v>3765.17</x:v>
      </x:c>
      <x:c r="M27" s="10">
        <x:f>1167.71+2597.46</x:f>
        <x:v>3765.17</x:v>
      </x:c>
      <x:c r="N27" s="10">
        <x:f>1167.71+2597.46</x:f>
      </x:c>
      <x:c r="O27" s="4"/>
      <x:c r="P27" s="43">
        <x:f>SUM(C27:N27)</x:f>
        <x:v>42520.049999999996</x:v>
      </x:c>
    </x:row>
    <x:row r="28">
      <x:c r="B28" s="55" t="s">
        <x:v>40</x:v>
      </x:c>
      <x:c r="C28" s="10">
        <x:v>342.76</x:v>
      </x:c>
      <x:c r="D28" s="10">
        <x:v>306.346</x:v>
      </x:c>
      <x:c r="E28" s="10">
        <x:v>354.898</x:v>
      </x:c>
      <x:c r="F28" s="10">
        <x:v>342.76</x:v>
      </x:c>
      <x:c r="G28" s="10">
        <x:v>245.656</x:v>
      </x:c>
      <x:c r="H28" s="10">
        <x:v>342.76</x:v>
      </x:c>
      <x:c r="I28" s="10">
        <x:v>184.966</x:v>
      </x:c>
      <x:c r="J28" s="10">
        <x:v>257.794</x:v>
      </x:c>
      <x:c r="K28" s="10">
        <x:v>354.898</x:v>
      </x:c>
      <x:c r="L28" s="10">
        <x:v>379.174</x:v>
      </x:c>
      <x:c r="M28" s="10">
        <x:v>330.622</x:v>
      </x:c>
      <x:c r="N28" s="10">
        <x:v>549.898</x:v>
      </x:c>
      <x:c r="O28" s="4"/>
      <x:c r="P28" s="43">
        <x:f>SUM(C28:N28)</x:f>
        <x:v>3442.634</x:v>
      </x:c>
    </x:row>
    <x:row r="29">
      <x:c r="B29" s="55" t="s">
        <x:v>44</x:v>
      </x:c>
      <x:c r="C29" s="64"/>
      <x:c r="D29" s="64">
        <x:v>209.33</x:v>
      </x:c>
      <x:c r="E29" s="64"/>
      <x:c r="F29" s="64"/>
      <x:c r="G29" s="64"/>
      <x:c r="H29" s="64"/>
      <x:c r="I29" s="64"/>
      <x:c r="J29" s="64"/>
      <x:c r="K29" s="64"/>
      <x:c r="L29" s="64"/>
      <x:c r="M29" s="64"/>
      <x:c r="N29" s="64"/>
      <x:c r="O29" s="4"/>
      <x:c r="P29" s="43"/>
    </x:row>
    <x:row r="30">
      <x:c r="B30" s="8" t="s">
        <x:v>3</x:v>
      </x:c>
      <x:c r="C30" s="44">
        <x:f>SUM(C23:C28)</x:f>
        <x:v>10399.56</x:v>
      </x:c>
      <x:c r="D30" s="44">
        <x:f>SUM(D23:D28)</x:f>
        <x:v>10368.256</x:v>
      </x:c>
      <x:c r="E30" s="44">
        <x:f>SUM(E23:E29)</x:f>
      </x:c>
      <x:c r="F30" s="44">
        <x:f>SUM(F23:F29)</x:f>
      </x:c>
      <x:c r="G30" s="44">
        <x:f>SUM(G23:G29)</x:f>
      </x:c>
      <x:c r="H30" s="44">
        <x:f>SUM(H23:H29)</x:f>
      </x:c>
      <x:c r="I30" s="44">
        <x:f>SUM(I23:I29)</x:f>
      </x:c>
      <x:c r="J30" s="44">
        <x:f>SUM(J23:J29)</x:f>
      </x:c>
      <x:c r="K30" s="44">
        <x:f>SUM(K23:K29)</x:f>
      </x:c>
      <x:c r="L30" s="44">
        <x:f>SUM(L23:L29)</x:f>
      </x:c>
      <x:c r="M30" s="44">
        <x:f>SUM(M23:M29)</x:f>
      </x:c>
      <x:c r="N30" s="44">
        <x:f>SUM(N23:N29)</x:f>
      </x:c>
      <x:c r="O30" s="4"/>
      <x:c r="P30" s="60">
        <x:f>SUM(C30:N30)</x:f>
        <x:v>114525.41914712</x:v>
      </x:c>
    </x:row>
    <x:row r="31">
      <x:c r="B31" s="45"/>
      <x:c r="C31" s="26"/>
      <x:c r="D31" s="26"/>
      <x:c r="E31" s="26"/>
      <x:c r="F31" s="26"/>
      <x:c r="G31" s="26"/>
      <x:c r="H31" s="26"/>
      <x:c r="I31" s="26"/>
      <x:c r="J31" s="26"/>
      <x:c r="K31" s="26"/>
      <x:c r="L31" s="26"/>
      <x:c r="M31" s="26"/>
      <x:c r="N31" s="26"/>
      <x:c r="O31" s="5"/>
    </x:row>
    <x:row r="32">
      <x:c r="B32" s="46" t="s">
        <x:v>36</x:v>
      </x:c>
      <x:c r="C32" s="47">
        <x:f>C20-C30</x:f>
      </x:c>
      <x:c r="D32" s="47">
        <x:f>D20-D30</x:f>
      </x:c>
      <x:c r="E32" s="47">
        <x:f>E20-E30</x:f>
      </x:c>
      <x:c r="F32" s="47">
        <x:f>F20-F30</x:f>
      </x:c>
      <x:c r="G32" s="47">
        <x:f>G20-G30</x:f>
      </x:c>
      <x:c r="H32" s="47">
        <x:f>H20-H30</x:f>
      </x:c>
      <x:c r="I32" s="47">
        <x:f>I20-I30</x:f>
      </x:c>
      <x:c r="J32" s="47">
        <x:f>J20-J30</x:f>
      </x:c>
      <x:c r="K32" s="47">
        <x:f>K20-K30</x:f>
      </x:c>
      <x:c r="L32" s="47">
        <x:f>L20-L30</x:f>
      </x:c>
      <x:c r="M32" s="47">
        <x:f>M20-M30</x:f>
      </x:c>
      <x:c r="N32" s="47">
        <x:f>N20-N30</x:f>
      </x:c>
      <x:c r="P32" s="59">
        <x:f>SUM(C32:O32)</x:f>
        <x:v>-3487.6191471199963</x:v>
      </x:c>
    </x:row>
    <x:row r="34">
      <x:c r="B34" s="62" t="s">
        <x:v>37</x:v>
      </x:c>
      <x:c r="C34" s="54">
        <x:v>680</x:v>
      </x:c>
      <x:c r="D34" s="54">
        <x:v>578</x:v>
      </x:c>
      <x:c r="E34" s="54">
        <x:v>714</x:v>
      </x:c>
      <x:c r="F34" s="54">
        <x:v>680</x:v>
      </x:c>
      <x:c r="G34" s="54">
        <x:v>408</x:v>
      </x:c>
      <x:c r="H34" s="54">
        <x:v>680</x:v>
      </x:c>
      <x:c r="I34" s="54">
        <x:v>238</x:v>
      </x:c>
      <x:c r="J34" s="54">
        <x:v>442</x:v>
      </x:c>
      <x:c r="K34" s="54">
        <x:v>714</x:v>
      </x:c>
      <x:c r="L34" s="54">
        <x:v>782</x:v>
      </x:c>
      <x:c r="M34" s="54">
        <x:v>646</x:v>
      </x:c>
      <x:c r="N34" s="54">
        <x:v>714</x:v>
      </x:c>
      <x:c r="P34" s="61">
        <x:f>SUM(C34:N34)</x:f>
        <x:v>7276</x:v>
      </x:c>
    </x:row>
    <x:row r="35">
      <x:c r="B35" s="62" t="s">
        <x:v>38</x:v>
      </x:c>
      <x:c r="C35" s="54">
        <x:v>342.76</x:v>
      </x:c>
      <x:c r="D35" s="54">
        <x:v>306.346</x:v>
      </x:c>
      <x:c r="E35" s="54">
        <x:v>354.898</x:v>
      </x:c>
      <x:c r="F35" s="54">
        <x:v>342.76</x:v>
      </x:c>
      <x:c r="G35" s="54">
        <x:v>245.656</x:v>
      </x:c>
      <x:c r="H35" s="54">
        <x:v>342.76</x:v>
      </x:c>
      <x:c r="I35" s="54">
        <x:v>184.966</x:v>
      </x:c>
      <x:c r="J35" s="54">
        <x:v>257.794</x:v>
      </x:c>
      <x:c r="K35" s="54">
        <x:v>354.898</x:v>
      </x:c>
      <x:c r="L35" s="54">
        <x:v>379.174</x:v>
      </x:c>
      <x:c r="M35" s="54">
        <x:v>330.622</x:v>
      </x:c>
      <x:c r="N35" s="54">
        <x:v>549.898</x:v>
      </x:c>
      <x:c r="P35" s="61">
        <x:f>SUM(C35:N35)</x:f>
        <x:v>3442.634</x:v>
      </x:c>
    </x:row>
    <x:row r="37">
      <x:c r="N37" s="54" t="s">
        <x:v>42</x:v>
      </x:c>
      <x:c r="P37" s="61">
        <x:f>(P34*0.357) + 1395</x:f>
        <x:v>3992.5319999999997</x:v>
      </x:c>
    </x:row>
    <x:row r="38">
      <x:c r="N38" s="54" t="s">
        <x:v>43</x:v>
      </x:c>
      <x:c r="P38" s="61">
        <x:f>P37-P35</x:f>
        <x:v>549.8979999999997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E8" sqref="E8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2" t="s">
        <x:v>23</x:v>
      </x:c>
      <x:c r="C2" s="73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630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4" t="s">
        <x:v>33</x:v>
      </x:c>
      <x:c r="C2" s="74"/>
    </x:row>
    <x:row r="3" spans="2:3" ht="16.95" customHeight="1" x14ac:dyDescent="0.3">
      <x:c r="B3" s="38" t="s">
        <x:v>34</x:v>
      </x:c>
      <x:c r="C3" s="39">
        <x:f>'2023'!P27+'2024'!P32</x:f>
        <x:v>2949.1508528800041</x:v>
      </x:c>
    </x:row>
    <x:row r="4" spans="2:3" ht="16.95" customHeight="1" x14ac:dyDescent="0.3">
      <x:c r="B4" s="38" t="s">
        <x:v>39</x:v>
      </x:c>
      <x:c r="C4" s="40">
        <x:f>'2023'!P12+'2024'!P12</x:f>
        <x:v>41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73</vt:i4>
      </vt:variant>
    </vt:vector>
  </HeadingPairs>
  <TitlesOfParts>
    <vt:vector size="77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'2024'!SORTIES_FRAIS_PEE_AMUNDI</vt:lpstr>
      <vt:lpstr>SORTIES_INTERESSEMENT_CSG_CRDS</vt:lpstr>
      <vt:lpstr>SORTIES_INTERESSEMENT_NET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2025-01-03T10:01:21Z</dcterms:modified>
</cp:coreProperties>
</file>