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85008930-70BA-4630-A8BB-4BA54B06E6E1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'2024'!$B$35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'2024'!$B$34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'2024'!$B$32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'2024'!$B$27</definedName>
    <definedName name="SORTIES_CHARGES_SOCIALES_PATRONALES">#REF!</definedName>
    <definedName name="SORTIES_FRAIS_KM" localSheetId="0">'2023'!$B$24</definedName>
    <definedName name="SORTIES_FRAIS_KM" localSheetId="1">'2024'!$B$28</definedName>
    <definedName name="SORTIES_FRAIS_PEE_AMUNDI" localSheetId="0">'2023'!#REF!</definedName>
    <definedName name="SORTIES_FRAIS_PEE_AMUNDI" localSheetId="1">'2024'!$B$26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INTERESSEMENT_CSG_CRDS">'2024'!$B$25</definedName>
    <definedName name="SORTIES_INTERESSEMENT_NET">'2024'!$B$24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'2024'!$B$30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L26" i="15" l="1"/>
  <c r="L25" i="15"/>
  <c r="L24" i="15"/>
  <c r="P35" i="15" l="1"/>
  <c r="P34" i="15"/>
  <c r="G32" i="15"/>
  <c r="N30" i="15"/>
  <c r="M30" i="15"/>
  <c r="M32" i="15" s="1"/>
  <c r="L30" i="15"/>
  <c r="G30" i="15"/>
  <c r="F30" i="15"/>
  <c r="E30" i="15"/>
  <c r="D30" i="15"/>
  <c r="P28" i="15"/>
  <c r="P27" i="15"/>
  <c r="L27" i="15"/>
  <c r="K27" i="15"/>
  <c r="K30" i="15" s="1"/>
  <c r="J27" i="15"/>
  <c r="J30" i="15" s="1"/>
  <c r="I27" i="15"/>
  <c r="I30" i="15" s="1"/>
  <c r="I32" i="15" s="1"/>
  <c r="H27" i="15"/>
  <c r="H30" i="15" s="1"/>
  <c r="H32" i="15" s="1"/>
  <c r="G27" i="15"/>
  <c r="F27" i="15"/>
  <c r="E27" i="15"/>
  <c r="D27" i="15"/>
  <c r="C27" i="15"/>
  <c r="C30" i="15" s="1"/>
  <c r="P23" i="15"/>
  <c r="N20" i="15"/>
  <c r="N32" i="15" s="1"/>
  <c r="M20" i="15"/>
  <c r="I20" i="15"/>
  <c r="H20" i="15"/>
  <c r="G20" i="15"/>
  <c r="F20" i="15"/>
  <c r="F32" i="15" s="1"/>
  <c r="P18" i="15"/>
  <c r="L17" i="15"/>
  <c r="L20" i="15" s="1"/>
  <c r="K17" i="15"/>
  <c r="K20" i="15" s="1"/>
  <c r="K32" i="15" s="1"/>
  <c r="J17" i="15"/>
  <c r="J20" i="15" s="1"/>
  <c r="I17" i="15"/>
  <c r="H17" i="15"/>
  <c r="G17" i="15"/>
  <c r="F17" i="15"/>
  <c r="E17" i="15"/>
  <c r="E20" i="15" s="1"/>
  <c r="E32" i="15" s="1"/>
  <c r="D17" i="15"/>
  <c r="D20" i="15" s="1"/>
  <c r="D32" i="15" s="1"/>
  <c r="C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F27" i="14"/>
  <c r="E27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P25" i="14" s="1"/>
  <c r="P24" i="14"/>
  <c r="N23" i="14"/>
  <c r="M23" i="14"/>
  <c r="L23" i="14"/>
  <c r="K23" i="14"/>
  <c r="J23" i="14"/>
  <c r="P23" i="14" s="1"/>
  <c r="P22" i="14"/>
  <c r="L19" i="14"/>
  <c r="L27" i="14" s="1"/>
  <c r="K19" i="14"/>
  <c r="K27" i="14" s="1"/>
  <c r="J19" i="14"/>
  <c r="J27" i="14" s="1"/>
  <c r="I19" i="14"/>
  <c r="I27" i="14" s="1"/>
  <c r="H19" i="14"/>
  <c r="H27" i="14" s="1"/>
  <c r="G19" i="14"/>
  <c r="G27" i="14" s="1"/>
  <c r="F19" i="14"/>
  <c r="E19" i="14"/>
  <c r="D19" i="14"/>
  <c r="D27" i="14" s="1"/>
  <c r="C19" i="14"/>
  <c r="C27" i="14" s="1"/>
  <c r="P18" i="14"/>
  <c r="N17" i="14"/>
  <c r="N19" i="14" s="1"/>
  <c r="N27" i="14" s="1"/>
  <c r="M17" i="14"/>
  <c r="M19" i="14" s="1"/>
  <c r="M27" i="14" s="1"/>
  <c r="L17" i="14"/>
  <c r="K17" i="14"/>
  <c r="J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L32" i="15" l="1"/>
  <c r="P30" i="15"/>
  <c r="P27" i="14"/>
  <c r="J32" i="15"/>
  <c r="P17" i="14"/>
  <c r="C20" i="15"/>
  <c r="P19" i="14"/>
  <c r="C32" i="15" l="1"/>
  <c r="P32" i="15" s="1"/>
  <c r="C3" i="13" s="1"/>
  <c r="P20" i="15"/>
</calcChain>
</file>

<file path=xl/sharedStrings.xml><?xml version="1.0" encoding="utf-8"?>
<sst xmlns="http://schemas.openxmlformats.org/spreadsheetml/2006/main" count="86" uniqueCount="48">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</sst>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12" fillId="4" borderId="5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N31" sqref="N31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F970-CCEB-4894-9459-86AA93450B85}">
  <dimension ref="B1:P35"/>
  <sheetViews>
    <sheetView tabSelected="1" topLeftCell="A11" workbookViewId="0">
      <selection activeCell="L30" sqref="L30"/>
    </sheetView>
  </sheetViews>
  <sheetFormatPr baseColWidth="10" defaultRowHeight="14.4" x14ac:dyDescent="0.3"/>
  <cols>
    <col min="1" max="1" width="3" customWidth="1"/>
    <col min="2" max="2" width="28" customWidth="1"/>
    <col min="14" max="14" width="18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>
        <v>13</v>
      </c>
      <c r="K6" s="37">
        <v>18</v>
      </c>
      <c r="L6" s="37">
        <v>18</v>
      </c>
      <c r="M6" s="37"/>
      <c r="N6" s="37"/>
      <c r="O6" s="36"/>
      <c r="P6" s="57">
        <f>SUM(C6:N6)</f>
        <v>175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>
        <v>13</v>
      </c>
      <c r="K7" s="37">
        <v>21</v>
      </c>
      <c r="L7" s="37">
        <v>23</v>
      </c>
      <c r="M7" s="37"/>
      <c r="N7" s="37"/>
      <c r="O7" s="36"/>
      <c r="P7" s="57">
        <f>SUM(C7:N7)</f>
        <v>174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3</v>
      </c>
      <c r="L8" s="63">
        <f t="shared" si="0"/>
        <v>5</v>
      </c>
      <c r="M8" s="63">
        <f t="shared" si="0"/>
        <v>0</v>
      </c>
      <c r="N8" s="63">
        <f t="shared" si="0"/>
        <v>0</v>
      </c>
      <c r="O8" s="36"/>
      <c r="P8" s="57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>
        <v>13</v>
      </c>
      <c r="K11" s="11">
        <v>21</v>
      </c>
      <c r="L11" s="11">
        <v>23</v>
      </c>
      <c r="M11" s="11"/>
      <c r="N11" s="11"/>
      <c r="P11" s="58">
        <f>SUM(C11:N11)</f>
        <v>174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>
        <v>8</v>
      </c>
      <c r="K12" s="12"/>
      <c r="L12" s="12"/>
      <c r="M12" s="12"/>
      <c r="N12" s="12"/>
      <c r="P12" s="58">
        <f>SUM(C12:N12)</f>
        <v>39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>
        <f>J11*Params!$C$5*(1-Params!$C$3)-Params!$C$4</f>
        <v>7459.8</v>
      </c>
      <c r="K17" s="10">
        <f>K11*Params!$C$5*(1-Params!$C$3)-Params!$C$4</f>
        <v>12096.6</v>
      </c>
      <c r="L17" s="10">
        <f>L11*Params!$C$5*(1-Params!$C$3)-Params!$C$4</f>
        <v>13255.800000000001</v>
      </c>
      <c r="M17" s="10"/>
      <c r="N17" s="10"/>
      <c r="O17" s="4"/>
      <c r="P17" s="41">
        <f>SUM(C17:N17)</f>
        <v>100100.40000000001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11517</v>
      </c>
      <c r="D20" s="28">
        <f t="shared" si="1"/>
        <v>9778.2000000000007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7459.8</v>
      </c>
      <c r="K20" s="28">
        <f t="shared" si="1"/>
        <v>12096.6</v>
      </c>
      <c r="L20" s="28">
        <f t="shared" si="1"/>
        <v>13255.800000000001</v>
      </c>
      <c r="M20" s="28">
        <f t="shared" si="1"/>
        <v>0</v>
      </c>
      <c r="N20" s="28">
        <f t="shared" si="1"/>
        <v>0</v>
      </c>
      <c r="O20" s="5"/>
      <c r="P20" s="42">
        <f>SUM(C20:O20)</f>
        <v>100100.40000000001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>
        <v>6258.03</v>
      </c>
      <c r="K23" s="10">
        <v>6201.74</v>
      </c>
      <c r="L23" s="10">
        <v>5074.42</v>
      </c>
      <c r="M23" s="10"/>
      <c r="N23" s="10"/>
      <c r="O23" s="4"/>
      <c r="P23" s="43">
        <f>SUM(C23:N23)</f>
        <v>60946.369999999988</v>
      </c>
    </row>
    <row r="24" spans="2:16" x14ac:dyDescent="0.3">
      <c r="B24" s="66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>
        <f>(6242.13/5)*(1-9.7%)</f>
        <v>1127.3286780000001</v>
      </c>
      <c r="M24" s="10"/>
      <c r="N24" s="10"/>
      <c r="O24" s="4"/>
      <c r="P24" s="43"/>
    </row>
    <row r="25" spans="2:16" x14ac:dyDescent="0.3">
      <c r="B25" s="67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74">
        <f>(6242.13/5)*9.7%</f>
        <v>121.09732199999998</v>
      </c>
      <c r="M25" s="10"/>
      <c r="N25" s="10"/>
      <c r="O25" s="4"/>
      <c r="P25" s="43"/>
    </row>
    <row r="26" spans="2:16" x14ac:dyDescent="0.3">
      <c r="B26" s="68" t="s">
        <v>47</v>
      </c>
      <c r="C26" s="10"/>
      <c r="D26" s="10"/>
      <c r="E26" s="10"/>
      <c r="F26" s="10"/>
      <c r="G26" s="10"/>
      <c r="H26" s="10"/>
      <c r="I26" s="10"/>
      <c r="J26" s="10"/>
      <c r="K26" s="10"/>
      <c r="L26" s="74">
        <f>L24*0.02</f>
        <v>22.546573560000002</v>
      </c>
      <c r="M26" s="10"/>
      <c r="N26" s="10"/>
      <c r="O26" s="4"/>
      <c r="P26" s="43"/>
    </row>
    <row r="27" spans="2:16" x14ac:dyDescent="0.3">
      <c r="B27" s="9" t="s">
        <v>8</v>
      </c>
      <c r="C27" s="10">
        <f>1288.82+2566.24</f>
        <v>3855.0599999999995</v>
      </c>
      <c r="D27" s="10">
        <f>1288.82+2571.35</f>
        <v>3860.17</v>
      </c>
      <c r="E27" s="10">
        <f>1288.82+2576.48</f>
        <v>3865.3</v>
      </c>
      <c r="F27" s="10">
        <f>1288.82+2566.24</f>
        <v>3855.0599999999995</v>
      </c>
      <c r="G27" s="10">
        <f>1288.82+2596.89</f>
        <v>3885.71</v>
      </c>
      <c r="H27" s="10">
        <f>1288.82+2614.82</f>
        <v>3903.6400000000003</v>
      </c>
      <c r="I27" s="10">
        <f>1288.82+2597.46</f>
        <v>3886.2799999999997</v>
      </c>
      <c r="J27" s="10">
        <f>1307.44+2664.28</f>
        <v>3971.7200000000003</v>
      </c>
      <c r="K27" s="10">
        <f>1288.82+2617.95</f>
        <v>3906.7699999999995</v>
      </c>
      <c r="L27" s="10">
        <f>1167.71+2597.46</f>
        <v>3765.17</v>
      </c>
      <c r="M27" s="10"/>
      <c r="N27" s="10"/>
      <c r="O27" s="4"/>
      <c r="P27" s="43">
        <f>SUM(C27:N27)</f>
        <v>38754.879999999997</v>
      </c>
    </row>
    <row r="28" spans="2:16" x14ac:dyDescent="0.3">
      <c r="B28" s="55" t="s">
        <v>40</v>
      </c>
      <c r="C28" s="10">
        <v>342.76</v>
      </c>
      <c r="D28" s="10">
        <v>306.346</v>
      </c>
      <c r="E28" s="10">
        <v>354.89800000000002</v>
      </c>
      <c r="F28" s="10">
        <v>342.76</v>
      </c>
      <c r="G28" s="10">
        <v>245.65600000000001</v>
      </c>
      <c r="H28" s="10">
        <v>342.76</v>
      </c>
      <c r="I28" s="10">
        <v>184.96600000000001</v>
      </c>
      <c r="J28" s="10">
        <v>257.79399999999998</v>
      </c>
      <c r="K28" s="10">
        <v>354.89800000000002</v>
      </c>
      <c r="L28" s="10">
        <v>379.17399999999998</v>
      </c>
      <c r="M28" s="10"/>
      <c r="N28" s="10"/>
      <c r="O28" s="4"/>
      <c r="P28" s="43">
        <f>SUM(C28:N28)</f>
        <v>3112.0120000000002</v>
      </c>
    </row>
    <row r="29" spans="2:16" x14ac:dyDescent="0.3">
      <c r="B29" s="55" t="s">
        <v>44</v>
      </c>
      <c r="C29" s="64"/>
      <c r="D29" s="64">
        <v>209.33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/>
    </row>
    <row r="30" spans="2:16" x14ac:dyDescent="0.3">
      <c r="B30" s="8" t="s">
        <v>3</v>
      </c>
      <c r="C30" s="44">
        <f>SUM(C23:C28)</f>
        <v>10399.56</v>
      </c>
      <c r="D30" s="44">
        <f>SUM(D23:D28)</f>
        <v>10368.255999999999</v>
      </c>
      <c r="E30" s="44">
        <f t="shared" ref="E30:L30" si="2">SUM(E23:E29)</f>
        <v>10421.938</v>
      </c>
      <c r="F30" s="44">
        <f t="shared" si="2"/>
        <v>10399.56</v>
      </c>
      <c r="G30" s="44">
        <f t="shared" si="2"/>
        <v>10333.106000000002</v>
      </c>
      <c r="H30" s="44">
        <f t="shared" si="2"/>
        <v>10448.140000000001</v>
      </c>
      <c r="I30" s="44">
        <f t="shared" si="2"/>
        <v>10272.986000000001</v>
      </c>
      <c r="J30" s="44">
        <f t="shared" si="2"/>
        <v>10487.544</v>
      </c>
      <c r="K30" s="44">
        <f t="shared" si="2"/>
        <v>10463.407999999998</v>
      </c>
      <c r="L30" s="44">
        <f t="shared" si="2"/>
        <v>10489.73657356</v>
      </c>
      <c r="M30" s="44">
        <f>SUM(M23:M28)</f>
        <v>0</v>
      </c>
      <c r="N30" s="44">
        <f>SUM(N23:N28)</f>
        <v>0</v>
      </c>
      <c r="O30" s="4"/>
      <c r="P30" s="60">
        <f>SUM(C30:N30)</f>
        <v>104084.23457356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3">C20-C30</f>
        <v>1117.4400000000005</v>
      </c>
      <c r="D32" s="47">
        <f t="shared" si="3"/>
        <v>-590.05599999999868</v>
      </c>
      <c r="E32" s="47">
        <f t="shared" si="3"/>
        <v>1674.6620000000003</v>
      </c>
      <c r="F32" s="47">
        <f t="shared" si="3"/>
        <v>1117.4400000000005</v>
      </c>
      <c r="G32" s="47">
        <f t="shared" si="3"/>
        <v>-3452.9060000000009</v>
      </c>
      <c r="H32" s="47">
        <f t="shared" si="3"/>
        <v>1068.8599999999988</v>
      </c>
      <c r="I32" s="47">
        <f t="shared" si="3"/>
        <v>-6290.7860000000001</v>
      </c>
      <c r="J32" s="47">
        <f t="shared" si="3"/>
        <v>-3027.7439999999997</v>
      </c>
      <c r="K32" s="47">
        <f t="shared" si="3"/>
        <v>1633.1920000000027</v>
      </c>
      <c r="L32" s="47">
        <f t="shared" si="3"/>
        <v>2766.0634264400014</v>
      </c>
      <c r="M32" s="47">
        <f t="shared" si="3"/>
        <v>0</v>
      </c>
      <c r="N32" s="47">
        <f t="shared" si="3"/>
        <v>0</v>
      </c>
      <c r="P32" s="59">
        <f>SUM(C32:O32)</f>
        <v>-3983.834573559996</v>
      </c>
    </row>
    <row r="34" spans="2:16" x14ac:dyDescent="0.3">
      <c r="B34" s="62" t="s">
        <v>37</v>
      </c>
      <c r="C34" s="54">
        <v>680</v>
      </c>
      <c r="D34" s="54">
        <v>578</v>
      </c>
      <c r="E34" s="54">
        <v>714</v>
      </c>
      <c r="F34" s="54">
        <v>680</v>
      </c>
      <c r="G34" s="54">
        <v>408</v>
      </c>
      <c r="H34" s="54">
        <v>680</v>
      </c>
      <c r="I34" s="54">
        <v>238</v>
      </c>
      <c r="J34" s="54">
        <v>442</v>
      </c>
      <c r="K34" s="54">
        <v>714</v>
      </c>
      <c r="L34" s="54">
        <v>782</v>
      </c>
      <c r="M34" s="54"/>
      <c r="N34" s="54"/>
      <c r="P34" s="61">
        <f>SUM(C34:N34)</f>
        <v>5916</v>
      </c>
    </row>
    <row r="35" spans="2:16" x14ac:dyDescent="0.3">
      <c r="B35" s="62" t="s">
        <v>38</v>
      </c>
      <c r="C35" s="54">
        <v>342.76</v>
      </c>
      <c r="D35" s="54">
        <v>306.346</v>
      </c>
      <c r="E35" s="54">
        <v>354.89800000000002</v>
      </c>
      <c r="F35" s="54">
        <v>342.76</v>
      </c>
      <c r="G35" s="54">
        <v>245.65600000000001</v>
      </c>
      <c r="H35" s="54">
        <v>342.76</v>
      </c>
      <c r="I35" s="54">
        <v>184.96600000000001</v>
      </c>
      <c r="J35" s="54">
        <v>257.79399999999998</v>
      </c>
      <c r="K35" s="54">
        <v>354.89800000000002</v>
      </c>
      <c r="L35" s="54">
        <v>379.17399999999998</v>
      </c>
      <c r="M35" s="54"/>
      <c r="N35" s="54"/>
      <c r="P35" s="61">
        <f>SUM(C35:N35)</f>
        <v>3112.0120000000002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'2023'!P27+'2024'!P32</f>
        <v>2452.9354264400044</v>
      </c>
    </row>
    <row r="4" spans="2:3" ht="16.95" customHeight="1" x14ac:dyDescent="0.3">
      <c r="B4" s="38" t="s">
        <v>39</v>
      </c>
      <c r="C4" s="40">
        <f>'2023'!P12+'2024'!P12</f>
        <v>41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73</vt:i4>
      </vt:variant>
    </vt:vector>
  </HeadingPairs>
  <TitlesOfParts>
    <vt:vector size="77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'2024'!SORTIES_FRAIS_PEE_AMUNDI</vt:lpstr>
      <vt:lpstr>SORTIES_INTERESSEMENT_CSG_CRDS</vt:lpstr>
      <vt:lpstr>SORTIES_INTERESSEMENT_NET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2024-10-31T23:16:03Z</dcterms:modified>
</cp:coreProperties>
</file>