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725737AB-02E1-467B-BE50-502E045B632F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'2022'!$B$30</definedName>
    <definedName name="FRAIS_KM" localSheetId="1">'2023'!$B$33</definedName>
    <definedName name="FRAIS_KM" localSheetId="2">'2024'!$B$31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'2022'!$B$29</definedName>
    <definedName name="NOMBRE_KM" localSheetId="1">'2023'!$B$32</definedName>
    <definedName name="NOMBRE_KM" localSheetId="2">'2024'!$B$30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'2022'!$B$27</definedName>
    <definedName name="SOLDE" localSheetId="1">'2023'!$B$30</definedName>
    <definedName name="SOLDE" localSheetId="2">'2024'!$B$28</definedName>
    <definedName name="SORTIES" localSheetId="0">'2022'!$B$21</definedName>
    <definedName name="SORTIES" localSheetId="1">'2023'!$B$22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'2024'!$B$23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'2023'!$B$28</definedName>
    <definedName name="TOTAL_SORTIES" localSheetId="2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6" i="15"/>
  <c r="M26" i="15"/>
  <c r="L26" i="15"/>
  <c r="K26" i="15"/>
  <c r="F26" i="15"/>
  <c r="E26" i="15"/>
  <c r="D26" i="15"/>
  <c r="P25" i="15"/>
  <c r="P24" i="15"/>
  <c r="P23" i="15"/>
  <c r="J23" i="15"/>
  <c r="J26" i="15" s="1"/>
  <c r="I23" i="15"/>
  <c r="I26" i="15" s="1"/>
  <c r="H23" i="15"/>
  <c r="H26" i="15" s="1"/>
  <c r="G23" i="15"/>
  <c r="G26" i="15" s="1"/>
  <c r="F23" i="15"/>
  <c r="E23" i="15"/>
  <c r="D23" i="15"/>
  <c r="C23" i="15"/>
  <c r="C26" i="15" s="1"/>
  <c r="P26" i="15" s="1"/>
  <c r="P22" i="15"/>
  <c r="N19" i="15"/>
  <c r="N28" i="15" s="1"/>
  <c r="M19" i="15"/>
  <c r="M28" i="15" s="1"/>
  <c r="L19" i="15"/>
  <c r="L28" i="15" s="1"/>
  <c r="K19" i="15"/>
  <c r="K28" i="15" s="1"/>
  <c r="F19" i="15"/>
  <c r="F28" i="15" s="1"/>
  <c r="E19" i="15"/>
  <c r="E28" i="15" s="1"/>
  <c r="P18" i="15"/>
  <c r="J17" i="15"/>
  <c r="J19" i="15" s="1"/>
  <c r="J28" i="15" s="1"/>
  <c r="I17" i="15"/>
  <c r="I19" i="15" s="1"/>
  <c r="I28" i="15" s="1"/>
  <c r="H17" i="15"/>
  <c r="H19" i="15" s="1"/>
  <c r="H28" i="15" s="1"/>
  <c r="G17" i="15"/>
  <c r="G19" i="15" s="1"/>
  <c r="G28" i="15" s="1"/>
  <c r="F17" i="15"/>
  <c r="E17" i="15"/>
  <c r="D17" i="15"/>
  <c r="D19" i="15" s="1"/>
  <c r="D28" i="15" s="1"/>
  <c r="C17" i="15"/>
  <c r="C19" i="15" s="1"/>
  <c r="P14" i="15"/>
  <c r="P13" i="15"/>
  <c r="P12" i="15"/>
  <c r="P11" i="15"/>
  <c r="N8" i="15"/>
  <c r="M8" i="15"/>
  <c r="L8" i="15"/>
  <c r="K8" i="15"/>
  <c r="J8" i="15"/>
  <c r="P8" i="15" s="1"/>
  <c r="I8" i="15"/>
  <c r="H8" i="15"/>
  <c r="G8" i="15"/>
  <c r="F8" i="15"/>
  <c r="E8" i="15"/>
  <c r="D8" i="15"/>
  <c r="C8" i="15"/>
  <c r="P7" i="15"/>
  <c r="P6" i="15"/>
  <c r="P35" i="14"/>
  <c r="P36" i="14" s="1"/>
  <c r="P33" i="14"/>
  <c r="P32" i="14"/>
  <c r="G28" i="14"/>
  <c r="M27" i="14"/>
  <c r="P27" i="14" s="1"/>
  <c r="P26" i="14"/>
  <c r="P25" i="14"/>
  <c r="N24" i="14"/>
  <c r="N28" i="14" s="1"/>
  <c r="M24" i="14"/>
  <c r="M28" i="14" s="1"/>
  <c r="L24" i="14"/>
  <c r="L28" i="14" s="1"/>
  <c r="L30" i="14" s="1"/>
  <c r="K24" i="14"/>
  <c r="K28" i="14" s="1"/>
  <c r="K30" i="14" s="1"/>
  <c r="J24" i="14"/>
  <c r="J28" i="14" s="1"/>
  <c r="J30" i="14" s="1"/>
  <c r="I24" i="14"/>
  <c r="I28" i="14" s="1"/>
  <c r="H24" i="14"/>
  <c r="H28" i="14" s="1"/>
  <c r="G24" i="14"/>
  <c r="F24" i="14"/>
  <c r="F28" i="14" s="1"/>
  <c r="E24" i="14"/>
  <c r="E28" i="14" s="1"/>
  <c r="D24" i="14"/>
  <c r="D28" i="14" s="1"/>
  <c r="D30" i="14" s="1"/>
  <c r="C24" i="14"/>
  <c r="P24" i="14" s="1"/>
  <c r="P23" i="14"/>
  <c r="N20" i="14"/>
  <c r="N30" i="14" s="1"/>
  <c r="L20" i="14"/>
  <c r="K20" i="14"/>
  <c r="J20" i="14"/>
  <c r="I20" i="14"/>
  <c r="H20" i="14"/>
  <c r="H30" i="14" s="1"/>
  <c r="G20" i="14"/>
  <c r="G30" i="14" s="1"/>
  <c r="F20" i="14"/>
  <c r="D20" i="14"/>
  <c r="C20" i="14"/>
  <c r="P19" i="14"/>
  <c r="P18" i="14"/>
  <c r="N17" i="14"/>
  <c r="M17" i="14"/>
  <c r="M20" i="14" s="1"/>
  <c r="M30" i="14" s="1"/>
  <c r="L17" i="14"/>
  <c r="K17" i="14"/>
  <c r="J17" i="14"/>
  <c r="I17" i="14"/>
  <c r="H17" i="14"/>
  <c r="G17" i="14"/>
  <c r="F17" i="14"/>
  <c r="E17" i="14"/>
  <c r="E20" i="14" s="1"/>
  <c r="D17" i="14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30" i="12"/>
  <c r="P29" i="12"/>
  <c r="N25" i="12"/>
  <c r="M25" i="12"/>
  <c r="L25" i="12"/>
  <c r="K25" i="12"/>
  <c r="J25" i="12"/>
  <c r="I25" i="12"/>
  <c r="H25" i="12"/>
  <c r="G25" i="12"/>
  <c r="F25" i="12"/>
  <c r="E25" i="12"/>
  <c r="D25" i="12"/>
  <c r="P25" i="12" s="1"/>
  <c r="C25" i="12"/>
  <c r="P24" i="12"/>
  <c r="N23" i="12"/>
  <c r="M23" i="12"/>
  <c r="L23" i="12"/>
  <c r="P23" i="12" s="1"/>
  <c r="P22" i="12"/>
  <c r="L19" i="12"/>
  <c r="L27" i="12" s="1"/>
  <c r="K19" i="12"/>
  <c r="K27" i="12" s="1"/>
  <c r="J19" i="12"/>
  <c r="J27" i="12" s="1"/>
  <c r="I19" i="12"/>
  <c r="I27" i="12" s="1"/>
  <c r="H19" i="12"/>
  <c r="H27" i="12" s="1"/>
  <c r="G19" i="12"/>
  <c r="G27" i="12" s="1"/>
  <c r="F19" i="12"/>
  <c r="F27" i="12" s="1"/>
  <c r="E19" i="12"/>
  <c r="E27" i="12" s="1"/>
  <c r="D19" i="12"/>
  <c r="D27" i="12" s="1"/>
  <c r="C19" i="12"/>
  <c r="C27" i="12" s="1"/>
  <c r="P18" i="12"/>
  <c r="N17" i="12"/>
  <c r="N19" i="12" s="1"/>
  <c r="N27" i="12" s="1"/>
  <c r="M17" i="12"/>
  <c r="M19" i="12" s="1"/>
  <c r="M27" i="12" s="1"/>
  <c r="L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P8" i="12" s="1"/>
  <c r="D8" i="12"/>
  <c r="C8" i="12"/>
  <c r="P7" i="12"/>
  <c r="P6" i="12"/>
  <c r="I30" i="14" l="1"/>
  <c r="E30" i="14"/>
  <c r="P20" i="14"/>
  <c r="C28" i="15"/>
  <c r="P28" i="15" s="1"/>
  <c r="P19" i="15"/>
  <c r="F30" i="14"/>
  <c r="P27" i="12"/>
  <c r="P17" i="12"/>
  <c r="P19" i="12"/>
  <c r="P17" i="14"/>
  <c r="C28" i="14"/>
  <c r="P17" i="15"/>
  <c r="C3" i="13" l="1"/>
  <c r="C30" i="14"/>
  <c r="P30" i="14" s="1"/>
  <c r="P2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J18" authorId="0" shapeId="0" xr:uid="{C4CB6072-4B00-41E8-9B9C-252FFFC1B01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Montant à verifier</t>
        </r>
      </text>
    </comment>
  </commentList>
</comments>
</file>

<file path=xl/sharedStrings.xml><?xml version="1.0" encoding="utf-8"?>
<sst xmlns="http://schemas.openxmlformats.org/spreadsheetml/2006/main" count="122" uniqueCount="49">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</sst>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opLeftCell="B1" workbookViewId="0">
      <selection activeCell="L29" sqref="L29:N3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15</v>
      </c>
      <c r="M6" s="37">
        <v>19</v>
      </c>
      <c r="N6" s="37">
        <v>19</v>
      </c>
      <c r="O6" s="36"/>
      <c r="P6" s="58">
        <f>SUM(C6:N6)</f>
        <v>53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15</v>
      </c>
      <c r="M7" s="37">
        <v>20</v>
      </c>
      <c r="N7" s="37">
        <v>22</v>
      </c>
      <c r="O7" s="36"/>
      <c r="P7" s="58">
        <f>SUM(C7:N7)</f>
        <v>57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15</v>
      </c>
      <c r="M11" s="11">
        <v>20</v>
      </c>
      <c r="N11" s="11">
        <v>21.5</v>
      </c>
      <c r="P11" s="59">
        <f>SUM(C11:N11)</f>
        <v>56.5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0.5</v>
      </c>
      <c r="P12" s="59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6687</v>
      </c>
      <c r="M17" s="10">
        <f>M11*Params!$C$5*(1-Params!$C$3)-Params!$C$4</f>
        <v>8941</v>
      </c>
      <c r="N17" s="10">
        <f>N11*Params!$C$5*(1-Params!$C$3)-Params!$C$4</f>
        <v>9617.2000000000007</v>
      </c>
      <c r="O17" s="4"/>
      <c r="P17" s="41">
        <f>SUM(C17:N17)</f>
        <v>25245.200000000001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6687</v>
      </c>
      <c r="M19" s="28">
        <f t="shared" si="1"/>
        <v>8941</v>
      </c>
      <c r="N19" s="28">
        <f t="shared" si="1"/>
        <v>9617.2000000000007</v>
      </c>
      <c r="O19" s="5"/>
      <c r="P19" s="42">
        <f>SUM(C19:O19)</f>
        <v>25245.200000000001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3628.43</v>
      </c>
      <c r="M22" s="10">
        <v>5180.5200000000004</v>
      </c>
      <c r="N22" s="10">
        <v>5180.5200000000004</v>
      </c>
      <c r="O22" s="4"/>
      <c r="P22" s="43">
        <f>SUM(C22:N22)</f>
        <v>13989.470000000001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761.47+1391.7</f>
        <v>2153.17</v>
      </c>
      <c r="M23" s="10">
        <f>1079.62+1986.57</f>
        <v>3066.1899999999996</v>
      </c>
      <c r="N23" s="10">
        <f>1079.62+1986.57</f>
        <v>3066.1899999999996</v>
      </c>
      <c r="O23" s="4"/>
      <c r="P23" s="43">
        <f>SUM(C23:N23)</f>
        <v>8285.5499999999993</v>
      </c>
    </row>
    <row r="24" spans="2:16" x14ac:dyDescent="0.3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>
        <v>132.19999999999999</v>
      </c>
      <c r="M24" s="56">
        <v>158.63999999999999</v>
      </c>
      <c r="N24" s="56">
        <v>158.63999999999999</v>
      </c>
      <c r="O24" s="4"/>
      <c r="P24" s="43">
        <f>SUM(C24:N24)</f>
        <v>449.47999999999996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5913.8</v>
      </c>
      <c r="M25" s="44">
        <f t="shared" si="2"/>
        <v>8405.3499999999985</v>
      </c>
      <c r="N25" s="44">
        <f t="shared" si="2"/>
        <v>8405.3499999999985</v>
      </c>
      <c r="O25" s="4"/>
      <c r="P25" s="61">
        <f>SUM(C25:N25)</f>
        <v>22724.499999999996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773.19999999999982</v>
      </c>
      <c r="M27" s="47">
        <f t="shared" si="3"/>
        <v>535.65000000000146</v>
      </c>
      <c r="N27" s="47">
        <f t="shared" si="3"/>
        <v>1211.8500000000022</v>
      </c>
      <c r="P27" s="60">
        <f>SUM(C27:O27)</f>
        <v>2520.7000000000035</v>
      </c>
    </row>
    <row r="29" spans="2:16" x14ac:dyDescent="0.3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>
        <v>200</v>
      </c>
      <c r="M29" s="54">
        <v>240</v>
      </c>
      <c r="N29" s="54">
        <v>240</v>
      </c>
      <c r="P29" s="62">
        <f>SUM(C29:N29)</f>
        <v>680</v>
      </c>
    </row>
    <row r="30" spans="2:16" x14ac:dyDescent="0.3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>
        <v>132.19999999999999</v>
      </c>
      <c r="M30" s="54">
        <v>158.63999999999999</v>
      </c>
      <c r="N30" s="54">
        <v>158.63999999999999</v>
      </c>
      <c r="P30" s="62">
        <f>SUM(C30:N30)</f>
        <v>449.47999999999996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6"/>
  <sheetViews>
    <sheetView topLeftCell="B5" workbookViewId="0">
      <selection activeCell="L21" sqref="L21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18</v>
      </c>
      <c r="O6" s="36"/>
      <c r="P6" s="58">
        <f>SUM(C6:N6)</f>
        <v>227</v>
      </c>
    </row>
    <row r="7" spans="2:16" x14ac:dyDescent="0.3">
      <c r="B7" s="9" t="s">
        <v>21</v>
      </c>
      <c r="C7" s="37">
        <v>22</v>
      </c>
      <c r="D7" s="37">
        <v>14</v>
      </c>
      <c r="E7" s="37">
        <v>21</v>
      </c>
      <c r="F7" s="37">
        <v>19</v>
      </c>
      <c r="G7" s="37">
        <v>18</v>
      </c>
      <c r="H7" s="37">
        <v>22</v>
      </c>
      <c r="I7" s="37">
        <v>20</v>
      </c>
      <c r="J7" s="37">
        <v>9</v>
      </c>
      <c r="K7" s="37">
        <v>20</v>
      </c>
      <c r="L7" s="37">
        <v>21</v>
      </c>
      <c r="M7" s="37">
        <v>21</v>
      </c>
      <c r="N7" s="37">
        <v>20</v>
      </c>
      <c r="O7" s="36"/>
      <c r="P7" s="58">
        <f>SUM(C7:N7)</f>
        <v>227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-5</v>
      </c>
      <c r="E8" s="64">
        <f t="shared" si="0"/>
        <v>2</v>
      </c>
      <c r="F8" s="64">
        <f t="shared" si="0"/>
        <v>0</v>
      </c>
      <c r="G8" s="64">
        <f t="shared" si="0"/>
        <v>-1</v>
      </c>
      <c r="H8" s="64">
        <f t="shared" si="0"/>
        <v>3</v>
      </c>
      <c r="I8" s="64">
        <f t="shared" si="0"/>
        <v>1</v>
      </c>
      <c r="J8" s="64">
        <f t="shared" si="0"/>
        <v>-10</v>
      </c>
      <c r="K8" s="64">
        <f t="shared" si="0"/>
        <v>1</v>
      </c>
      <c r="L8" s="64">
        <f t="shared" si="0"/>
        <v>2</v>
      </c>
      <c r="M8" s="64">
        <f t="shared" si="0"/>
        <v>2</v>
      </c>
      <c r="N8" s="64">
        <f t="shared" si="0"/>
        <v>2</v>
      </c>
      <c r="O8" s="36"/>
      <c r="P8" s="58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14.5</v>
      </c>
      <c r="E11" s="11">
        <v>21</v>
      </c>
      <c r="F11" s="11">
        <v>19</v>
      </c>
      <c r="G11" s="11">
        <v>18</v>
      </c>
      <c r="H11" s="11">
        <v>22</v>
      </c>
      <c r="I11" s="11">
        <v>20</v>
      </c>
      <c r="J11" s="11">
        <v>9</v>
      </c>
      <c r="K11" s="11">
        <v>20</v>
      </c>
      <c r="L11" s="11">
        <v>21</v>
      </c>
      <c r="M11" s="11">
        <v>21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/>
      <c r="D12" s="12">
        <v>5.5</v>
      </c>
      <c r="E12" s="12">
        <v>2</v>
      </c>
      <c r="F12" s="12"/>
      <c r="G12" s="12">
        <v>1</v>
      </c>
      <c r="H12" s="12"/>
      <c r="I12" s="12"/>
      <c r="J12" s="12">
        <v>13</v>
      </c>
      <c r="K12" s="12">
        <v>1</v>
      </c>
      <c r="L12" s="12">
        <v>1</v>
      </c>
      <c r="M12" s="12"/>
      <c r="N12" s="12"/>
      <c r="P12" s="59">
        <f>SUM(C12:N12)</f>
        <v>23.5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9842.6</v>
      </c>
      <c r="D17" s="10">
        <f>D11*Params!$C$5*(1-Params!$C$3)-Params!$C$4</f>
        <v>6461.6</v>
      </c>
      <c r="E17" s="10">
        <f>E11*Params!$C$5*(1-Params!$C$3)-Params!$C$4</f>
        <v>9391.8000000000011</v>
      </c>
      <c r="F17" s="10">
        <f>F11*Params!$C$5*(1-Params!$C$3)-Params!$C$4</f>
        <v>8490.2000000000007</v>
      </c>
      <c r="G17" s="10">
        <f>G11*Params!$C$5*(1-Params!$C$3)-Params!$C$4</f>
        <v>8039.4000000000005</v>
      </c>
      <c r="H17" s="10">
        <f>H11*Params!$C$5*(1-Params!$C$3)-Params!$C$4</f>
        <v>9842.6</v>
      </c>
      <c r="I17" s="10">
        <f>I11*Params!$C$5*(1-Params!$C$3)-Params!$C$4</f>
        <v>8941</v>
      </c>
      <c r="J17" s="10">
        <f>J11*Params!$C$5*(1-Params!$C$3)-Params!$C$4</f>
        <v>3982.2000000000003</v>
      </c>
      <c r="K17" s="10">
        <f>K11*Params!$C$5*(1-Params!$C$3)-Params!$C$4</f>
        <v>8941</v>
      </c>
      <c r="L17" s="10">
        <f>L11*Params!$C$5*(1-Params!$C$3)-Params!$C$4</f>
        <v>9391.8000000000011</v>
      </c>
      <c r="M17" s="10">
        <f>M11*Params!$C$5*(1-Params!$C$3)-Params!$C$4</f>
        <v>9391.8000000000011</v>
      </c>
      <c r="N17" s="10">
        <f>N11*Params!$C$5*(1-Params!$C$3)-Params!$C$4</f>
        <v>8941</v>
      </c>
      <c r="O17" s="4"/>
      <c r="P17" s="41">
        <f>SUM(C17:N17)</f>
        <v>101657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800</v>
      </c>
      <c r="M19" s="56"/>
      <c r="N19" s="56"/>
      <c r="O19" s="4"/>
      <c r="P19" s="41">
        <f>SUM(C19:N19)</f>
        <v>800</v>
      </c>
    </row>
    <row r="20" spans="2:16" x14ac:dyDescent="0.3">
      <c r="B20" s="27" t="s">
        <v>2</v>
      </c>
      <c r="C20" s="28">
        <f t="shared" ref="C20:M20" si="1">SUM(C17:C18)</f>
        <v>9842.6</v>
      </c>
      <c r="D20" s="28">
        <f t="shared" si="1"/>
        <v>6461.6</v>
      </c>
      <c r="E20" s="28">
        <f t="shared" si="1"/>
        <v>9391.8000000000011</v>
      </c>
      <c r="F20" s="28">
        <f t="shared" si="1"/>
        <v>8490.2000000000007</v>
      </c>
      <c r="G20" s="28">
        <f t="shared" si="1"/>
        <v>8039.4000000000005</v>
      </c>
      <c r="H20" s="28">
        <f t="shared" si="1"/>
        <v>9842.6</v>
      </c>
      <c r="I20" s="28">
        <f t="shared" si="1"/>
        <v>8941</v>
      </c>
      <c r="J20" s="28">
        <f t="shared" si="1"/>
        <v>3982.2000000000003</v>
      </c>
      <c r="K20" s="28">
        <f t="shared" si="1"/>
        <v>8941</v>
      </c>
      <c r="L20" s="28">
        <f>SUM(L17:L19)</f>
        <v>10191.800000000001</v>
      </c>
      <c r="M20" s="28">
        <f t="shared" si="1"/>
        <v>9391.8000000000011</v>
      </c>
      <c r="N20" s="28">
        <f>SUM(N17:N19)</f>
        <v>8941</v>
      </c>
      <c r="O20" s="5"/>
      <c r="P20" s="42">
        <f>SUM(C20:N20)</f>
        <v>102457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5175</v>
      </c>
      <c r="D23" s="10">
        <v>5175</v>
      </c>
      <c r="E23" s="10">
        <v>5175</v>
      </c>
      <c r="F23" s="10">
        <v>5175</v>
      </c>
      <c r="G23" s="10">
        <v>5175</v>
      </c>
      <c r="H23" s="10">
        <v>5175</v>
      </c>
      <c r="I23" s="10">
        <v>5175</v>
      </c>
      <c r="J23" s="10">
        <v>5175</v>
      </c>
      <c r="K23" s="10">
        <v>5175</v>
      </c>
      <c r="L23" s="10">
        <v>5975</v>
      </c>
      <c r="M23" s="10">
        <v>5175</v>
      </c>
      <c r="N23" s="10">
        <v>9330.58</v>
      </c>
      <c r="O23" s="4"/>
      <c r="P23" s="43">
        <f t="shared" ref="P23:P28" si="2">SUM(C23:N23)</f>
        <v>67055.58</v>
      </c>
    </row>
    <row r="24" spans="2:16" x14ac:dyDescent="0.3">
      <c r="B24" s="9" t="s">
        <v>8</v>
      </c>
      <c r="C24" s="10">
        <f>1085.14+1989.42</f>
        <v>3074.5600000000004</v>
      </c>
      <c r="D24" s="10">
        <f>1085.14+1989.21</f>
        <v>3074.3500000000004</v>
      </c>
      <c r="E24" s="10">
        <f>1085.14+1991.49</f>
        <v>3076.63</v>
      </c>
      <c r="F24" s="10">
        <f>1085.14+1990.03</f>
        <v>3075.17</v>
      </c>
      <c r="G24" s="10">
        <f>1085.14+1991.59</f>
        <v>3076.73</v>
      </c>
      <c r="H24" s="10">
        <f>1085.14+1990.82</f>
        <v>3075.96</v>
      </c>
      <c r="I24" s="10">
        <f>1085.14+1990.4</f>
        <v>3075.54</v>
      </c>
      <c r="J24" s="10">
        <f>1085.14+1990.4</f>
        <v>3075.54</v>
      </c>
      <c r="K24" s="10">
        <f>1085.14+1995.8</f>
        <v>3080.94</v>
      </c>
      <c r="L24" s="10">
        <f>1085.14+1990.82</f>
        <v>3075.96</v>
      </c>
      <c r="M24" s="10">
        <f>1085.14+1990.82</f>
        <v>3075.96</v>
      </c>
      <c r="N24" s="10">
        <f>851.4+1554.51</f>
        <v>2405.91</v>
      </c>
      <c r="O24" s="4"/>
      <c r="P24" s="43">
        <f t="shared" si="2"/>
        <v>36243.25</v>
      </c>
    </row>
    <row r="25" spans="2:16" x14ac:dyDescent="0.3">
      <c r="B25" s="55" t="s">
        <v>40</v>
      </c>
      <c r="C25" s="10">
        <v>171.86</v>
      </c>
      <c r="D25" s="10">
        <v>118.98</v>
      </c>
      <c r="E25" s="10">
        <v>158.63999999999999</v>
      </c>
      <c r="F25" s="10">
        <v>153.34</v>
      </c>
      <c r="G25" s="10">
        <v>167.28</v>
      </c>
      <c r="H25" s="10">
        <v>181.22</v>
      </c>
      <c r="I25" s="10">
        <v>167.28</v>
      </c>
      <c r="J25" s="10">
        <v>83.64</v>
      </c>
      <c r="K25" s="10">
        <v>139.4</v>
      </c>
      <c r="L25" s="10">
        <v>181.22</v>
      </c>
      <c r="M25" s="10">
        <v>153.34</v>
      </c>
      <c r="N25" s="10">
        <v>177.82</v>
      </c>
      <c r="O25" s="4"/>
      <c r="P25" s="43">
        <f t="shared" si="2"/>
        <v>1854.0200000000002</v>
      </c>
    </row>
    <row r="26" spans="2:16" x14ac:dyDescent="0.3">
      <c r="B26" s="55" t="s">
        <v>41</v>
      </c>
      <c r="C26" s="10">
        <v>210.88</v>
      </c>
      <c r="D26" s="10"/>
      <c r="E26" s="10"/>
      <c r="F26" s="10"/>
      <c r="G26" s="10"/>
      <c r="H26" s="10">
        <v>499.17</v>
      </c>
      <c r="I26" s="10"/>
      <c r="J26" s="10"/>
      <c r="K26" s="10"/>
      <c r="L26" s="10"/>
      <c r="M26" s="10"/>
      <c r="N26" s="10"/>
      <c r="O26" s="4"/>
      <c r="P26" s="43">
        <f t="shared" si="2"/>
        <v>710.05</v>
      </c>
    </row>
    <row r="27" spans="2:16" x14ac:dyDescent="0.3">
      <c r="B27" s="55" t="s">
        <v>43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>
        <f>26.66+9.99+24.99+8.33+16.66</f>
        <v>86.63</v>
      </c>
      <c r="N27" s="56"/>
      <c r="O27" s="4"/>
      <c r="P27" s="43">
        <f t="shared" si="2"/>
        <v>86.63</v>
      </c>
    </row>
    <row r="28" spans="2:16" x14ac:dyDescent="0.3">
      <c r="B28" s="8" t="s">
        <v>3</v>
      </c>
      <c r="C28" s="44">
        <f t="shared" ref="C28:L28" si="3">SUM(C23:C26)</f>
        <v>8632.3000000000011</v>
      </c>
      <c r="D28" s="44">
        <f t="shared" si="3"/>
        <v>8368.33</v>
      </c>
      <c r="E28" s="44">
        <f t="shared" si="3"/>
        <v>8410.27</v>
      </c>
      <c r="F28" s="44">
        <f t="shared" si="3"/>
        <v>8403.51</v>
      </c>
      <c r="G28" s="44">
        <f t="shared" si="3"/>
        <v>8419.01</v>
      </c>
      <c r="H28" s="44">
        <f t="shared" si="3"/>
        <v>8931.3499999999985</v>
      </c>
      <c r="I28" s="44">
        <f t="shared" si="3"/>
        <v>8417.8200000000015</v>
      </c>
      <c r="J28" s="44">
        <f t="shared" si="3"/>
        <v>8334.18</v>
      </c>
      <c r="K28" s="44">
        <f t="shared" si="3"/>
        <v>8395.34</v>
      </c>
      <c r="L28" s="44">
        <f t="shared" si="3"/>
        <v>9232.1799999999985</v>
      </c>
      <c r="M28" s="44">
        <f>SUM(M23:M27)</f>
        <v>8490.9299999999985</v>
      </c>
      <c r="N28" s="44">
        <f>SUM(N23:N27)</f>
        <v>11914.31</v>
      </c>
      <c r="O28" s="4"/>
      <c r="P28" s="61">
        <f t="shared" si="2"/>
        <v>105949.52999999998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C20-C28</f>
        <v>1210.2999999999993</v>
      </c>
      <c r="D30" s="47">
        <f t="shared" si="4"/>
        <v>-1906.7299999999996</v>
      </c>
      <c r="E30" s="47">
        <f t="shared" si="4"/>
        <v>981.53000000000065</v>
      </c>
      <c r="F30" s="47">
        <f t="shared" si="4"/>
        <v>86.690000000000509</v>
      </c>
      <c r="G30" s="47">
        <f t="shared" si="4"/>
        <v>-379.60999999999967</v>
      </c>
      <c r="H30" s="47">
        <f t="shared" si="4"/>
        <v>911.25000000000182</v>
      </c>
      <c r="I30" s="47">
        <f t="shared" si="4"/>
        <v>523.17999999999847</v>
      </c>
      <c r="J30" s="47">
        <f t="shared" si="4"/>
        <v>-4351.9799999999996</v>
      </c>
      <c r="K30" s="47">
        <f t="shared" si="4"/>
        <v>545.65999999999985</v>
      </c>
      <c r="L30" s="47">
        <f t="shared" si="4"/>
        <v>959.62000000000262</v>
      </c>
      <c r="M30" s="47">
        <f t="shared" si="4"/>
        <v>900.87000000000262</v>
      </c>
      <c r="N30" s="47">
        <f t="shared" si="4"/>
        <v>-2973.3099999999995</v>
      </c>
      <c r="P30" s="60">
        <f>SUM(C30:N30)</f>
        <v>-3492.5299999999925</v>
      </c>
    </row>
    <row r="32" spans="2:16" x14ac:dyDescent="0.3">
      <c r="B32" s="63" t="s">
        <v>37</v>
      </c>
      <c r="C32" s="54">
        <v>260</v>
      </c>
      <c r="D32" s="54">
        <v>180</v>
      </c>
      <c r="E32" s="54">
        <v>240</v>
      </c>
      <c r="F32" s="54">
        <v>220</v>
      </c>
      <c r="G32" s="54">
        <v>240</v>
      </c>
      <c r="H32" s="54">
        <v>260</v>
      </c>
      <c r="I32" s="54">
        <v>240</v>
      </c>
      <c r="J32" s="54">
        <v>120</v>
      </c>
      <c r="K32" s="54">
        <v>200</v>
      </c>
      <c r="L32" s="54">
        <v>260</v>
      </c>
      <c r="M32" s="54">
        <v>220</v>
      </c>
      <c r="N32" s="54">
        <v>220</v>
      </c>
      <c r="P32" s="62">
        <f>SUM(C32:N32)</f>
        <v>2660</v>
      </c>
    </row>
    <row r="33" spans="2:16" x14ac:dyDescent="0.3">
      <c r="B33" s="63" t="s">
        <v>38</v>
      </c>
      <c r="C33" s="54">
        <v>171.86</v>
      </c>
      <c r="D33" s="54">
        <v>118.98</v>
      </c>
      <c r="E33" s="54">
        <v>158.63999999999999</v>
      </c>
      <c r="F33" s="54">
        <v>153.34</v>
      </c>
      <c r="G33" s="54">
        <v>167.28</v>
      </c>
      <c r="H33" s="54">
        <v>181.22</v>
      </c>
      <c r="I33" s="54">
        <v>167.28</v>
      </c>
      <c r="J33" s="54">
        <v>83.64</v>
      </c>
      <c r="K33" s="54">
        <v>139.4</v>
      </c>
      <c r="L33" s="54">
        <v>181.22</v>
      </c>
      <c r="M33" s="54">
        <v>153.34</v>
      </c>
      <c r="N33" s="54">
        <v>153.34</v>
      </c>
      <c r="P33" s="62">
        <f>SUM(C33:N33)</f>
        <v>1829.5400000000002</v>
      </c>
    </row>
    <row r="35" spans="2:16" x14ac:dyDescent="0.3">
      <c r="N35" s="54" t="s">
        <v>45</v>
      </c>
      <c r="P35" s="62">
        <f>P32*0.697</f>
        <v>1854.02</v>
      </c>
    </row>
    <row r="36" spans="2:16" x14ac:dyDescent="0.3">
      <c r="N36" s="54" t="s">
        <v>46</v>
      </c>
      <c r="P36" s="62">
        <f>P35-P33</f>
        <v>24.479999999999791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5A7F-95A7-4C29-B829-8C2C3006F0EA}">
  <dimension ref="B1:P31"/>
  <sheetViews>
    <sheetView tabSelected="1" topLeftCell="A3" workbookViewId="0">
      <selection activeCell="J19" sqref="J1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8">
        <f>SUM(C6:N6)</f>
        <v>152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19</v>
      </c>
      <c r="H7" s="37">
        <v>20</v>
      </c>
      <c r="I7" s="37">
        <v>18</v>
      </c>
      <c r="J7" s="37">
        <v>20</v>
      </c>
      <c r="K7" s="37"/>
      <c r="L7" s="37"/>
      <c r="M7" s="37"/>
      <c r="N7" s="37"/>
      <c r="O7" s="36"/>
      <c r="P7" s="58">
        <f>SUM(C7:N7)</f>
        <v>162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0</v>
      </c>
      <c r="H8" s="64">
        <f t="shared" si="0"/>
        <v>1</v>
      </c>
      <c r="I8" s="64">
        <f t="shared" si="0"/>
        <v>-1</v>
      </c>
      <c r="J8" s="64">
        <f t="shared" si="0"/>
        <v>1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19</v>
      </c>
      <c r="H11" s="11">
        <v>20</v>
      </c>
      <c r="I11" s="11">
        <v>18</v>
      </c>
      <c r="J11" s="11">
        <v>20</v>
      </c>
      <c r="K11" s="11"/>
      <c r="L11" s="11"/>
      <c r="M11" s="11"/>
      <c r="N11" s="11"/>
      <c r="P11" s="59">
        <f>SUM(C11:N11)</f>
        <v>162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>
        <v>1</v>
      </c>
      <c r="K12" s="12"/>
      <c r="L12" s="12"/>
      <c r="M12" s="12"/>
      <c r="N12" s="12"/>
      <c r="P12" s="59">
        <f>SUM(C12:N12)</f>
        <v>6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>
        <v>5</v>
      </c>
      <c r="K14" s="23"/>
      <c r="L14" s="23"/>
      <c r="M14" s="23"/>
      <c r="N14" s="23"/>
      <c r="P14" s="59">
        <f>SUM(C14:N14)</f>
        <v>5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9585</v>
      </c>
      <c r="E17" s="10">
        <f>E11*Params!$C$6*(1-Params!$C$3)-Params!$C$4</f>
        <v>9585</v>
      </c>
      <c r="F17" s="10">
        <f>F11*Params!$C$6*(1-Params!$C$3)-Params!$C$4</f>
        <v>9585</v>
      </c>
      <c r="G17" s="10">
        <f>G11*Params!$C$6*(1-Params!$C$3)-Params!$C$4</f>
        <v>8665</v>
      </c>
      <c r="H17" s="10">
        <f>H11*Params!$C$6*(1-Params!$C$3)-Params!$C$4</f>
        <v>9125</v>
      </c>
      <c r="I17" s="10">
        <f>I11*Params!$C$6*(1-Params!$C$3)-Params!$C$4</f>
        <v>8205</v>
      </c>
      <c r="J17" s="10">
        <f>J11*Params!$C$6*(1-Params!$C$3)-Params!$C$4</f>
        <v>9125</v>
      </c>
      <c r="K17" s="10"/>
      <c r="L17" s="10"/>
      <c r="M17" s="10"/>
      <c r="N17" s="10"/>
      <c r="O17" s="4"/>
      <c r="P17" s="41">
        <f>SUM(C17:N17)</f>
        <v>73920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>
        <v>5250</v>
      </c>
      <c r="K18" s="10"/>
      <c r="L18" s="10"/>
      <c r="M18" s="10"/>
      <c r="N18" s="10"/>
      <c r="O18" s="4"/>
      <c r="P18" s="41">
        <f>SUM(C18:N18)</f>
        <v>5250</v>
      </c>
    </row>
    <row r="19" spans="2:16" x14ac:dyDescent="0.3">
      <c r="B19" s="27" t="s">
        <v>2</v>
      </c>
      <c r="C19" s="28">
        <f t="shared" ref="C19:N19" si="1">SUM(C17:C18)</f>
        <v>10045</v>
      </c>
      <c r="D19" s="28">
        <f t="shared" si="1"/>
        <v>9585</v>
      </c>
      <c r="E19" s="28">
        <f t="shared" si="1"/>
        <v>9585</v>
      </c>
      <c r="F19" s="28">
        <f t="shared" si="1"/>
        <v>9585</v>
      </c>
      <c r="G19" s="28">
        <f t="shared" si="1"/>
        <v>8665</v>
      </c>
      <c r="H19" s="28">
        <f t="shared" si="1"/>
        <v>9125</v>
      </c>
      <c r="I19" s="28">
        <f t="shared" si="1"/>
        <v>8205</v>
      </c>
      <c r="J19" s="28">
        <f t="shared" si="1"/>
        <v>14375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79170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5165.58</v>
      </c>
      <c r="D22" s="10">
        <v>5165.58</v>
      </c>
      <c r="E22" s="10">
        <v>5165.58</v>
      </c>
      <c r="F22" s="10">
        <v>5165.58</v>
      </c>
      <c r="G22" s="10">
        <v>5165.58</v>
      </c>
      <c r="H22" s="10">
        <v>5165.58</v>
      </c>
      <c r="I22" s="10">
        <v>4165.58</v>
      </c>
      <c r="J22" s="10">
        <v>5165.58</v>
      </c>
      <c r="K22" s="10"/>
      <c r="L22" s="10"/>
      <c r="M22" s="10"/>
      <c r="N22" s="10"/>
      <c r="O22" s="4"/>
      <c r="P22" s="43">
        <f>SUM(C22:N22)</f>
        <v>40324.640000000007</v>
      </c>
    </row>
    <row r="23" spans="2:16" x14ac:dyDescent="0.3">
      <c r="B23" s="9" t="s">
        <v>8</v>
      </c>
      <c r="C23" s="10">
        <f>1099.12+2006.83</f>
        <v>3105.95</v>
      </c>
      <c r="D23" s="10">
        <f>1099.12+2006.83</f>
        <v>3105.95</v>
      </c>
      <c r="E23" s="10">
        <f>1099.12+2006.83</f>
        <v>3105.95</v>
      </c>
      <c r="F23" s="10">
        <f>1099.12+2006.83</f>
        <v>3105.95</v>
      </c>
      <c r="G23" s="10">
        <f>1099.12+2028.26</f>
        <v>3127.38</v>
      </c>
      <c r="H23" s="10">
        <f>1099.12+2028.26</f>
        <v>3127.38</v>
      </c>
      <c r="I23" s="10">
        <f>1099.12+2030.65</f>
        <v>3129.77</v>
      </c>
      <c r="J23" s="10">
        <f>1099.12+2032.72</f>
        <v>3131.84</v>
      </c>
      <c r="K23" s="10"/>
      <c r="L23" s="10"/>
      <c r="M23" s="10"/>
      <c r="N23" s="10"/>
      <c r="O23" s="4"/>
      <c r="P23" s="43">
        <f>SUM(C23:N23)</f>
        <v>24940.170000000002</v>
      </c>
    </row>
    <row r="24" spans="2:16" x14ac:dyDescent="0.3">
      <c r="B24" s="55" t="s">
        <v>40</v>
      </c>
      <c r="C24" s="56">
        <v>167.28</v>
      </c>
      <c r="D24" s="56">
        <v>167.28</v>
      </c>
      <c r="E24" s="56">
        <v>139.4</v>
      </c>
      <c r="F24" s="56">
        <v>139.4</v>
      </c>
      <c r="G24" s="56">
        <v>153.34</v>
      </c>
      <c r="H24" s="56">
        <v>153.34</v>
      </c>
      <c r="I24" s="56">
        <v>139.4</v>
      </c>
      <c r="J24" s="56">
        <v>167.28</v>
      </c>
      <c r="K24" s="56"/>
      <c r="L24" s="56"/>
      <c r="M24" s="56"/>
      <c r="N24" s="56"/>
      <c r="O24" s="4"/>
      <c r="P24" s="43">
        <f>SUM(C24:N24)</f>
        <v>1226.72</v>
      </c>
    </row>
    <row r="25" spans="2:16" x14ac:dyDescent="0.3">
      <c r="B25" s="9" t="s">
        <v>48</v>
      </c>
      <c r="C25" s="10"/>
      <c r="D25" s="10"/>
      <c r="E25" s="10"/>
      <c r="F25" s="10">
        <v>66.64</v>
      </c>
      <c r="G25" s="10">
        <v>3485</v>
      </c>
      <c r="H25" s="10"/>
      <c r="I25" s="10"/>
      <c r="J25" s="10"/>
      <c r="K25" s="10"/>
      <c r="L25" s="10"/>
      <c r="M25" s="10"/>
      <c r="N25" s="10"/>
      <c r="O25" s="4"/>
      <c r="P25" s="43">
        <f>SUM(C25:N25)</f>
        <v>3551.64</v>
      </c>
    </row>
    <row r="26" spans="2:16" x14ac:dyDescent="0.3">
      <c r="B26" s="8" t="s">
        <v>3</v>
      </c>
      <c r="C26" s="44">
        <f>SUM(C22:C24)</f>
        <v>8438.81</v>
      </c>
      <c r="D26" s="44">
        <f>SUM(D22:D24)</f>
        <v>8438.81</v>
      </c>
      <c r="E26" s="44">
        <f>SUM(E22:E24)</f>
        <v>8410.9299999999985</v>
      </c>
      <c r="F26" s="44">
        <f t="shared" ref="F26:N26" si="2">SUM(F22:F25)</f>
        <v>8477.5699999999979</v>
      </c>
      <c r="G26" s="44">
        <f t="shared" si="2"/>
        <v>11931.3</v>
      </c>
      <c r="H26" s="44">
        <f t="shared" si="2"/>
        <v>8446.2999999999993</v>
      </c>
      <c r="I26" s="44">
        <f t="shared" si="2"/>
        <v>7434.75</v>
      </c>
      <c r="J26" s="44">
        <f t="shared" si="2"/>
        <v>8464.7000000000007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70043.17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1606.1900000000005</v>
      </c>
      <c r="D28" s="47">
        <f t="shared" si="3"/>
        <v>1146.1900000000005</v>
      </c>
      <c r="E28" s="47">
        <f t="shared" si="3"/>
        <v>1174.0700000000015</v>
      </c>
      <c r="F28" s="47">
        <f t="shared" si="3"/>
        <v>1107.4300000000021</v>
      </c>
      <c r="G28" s="47">
        <f t="shared" si="3"/>
        <v>-3266.2999999999993</v>
      </c>
      <c r="H28" s="47">
        <f t="shared" si="3"/>
        <v>678.70000000000073</v>
      </c>
      <c r="I28" s="47">
        <f t="shared" si="3"/>
        <v>770.25</v>
      </c>
      <c r="J28" s="47">
        <f t="shared" si="3"/>
        <v>5910.2999999999993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60">
        <f>SUM(C28:O28)</f>
        <v>9126.8300000000054</v>
      </c>
    </row>
    <row r="30" spans="2:16" x14ac:dyDescent="0.3">
      <c r="B30" s="63" t="s">
        <v>37</v>
      </c>
      <c r="C30" s="54">
        <v>240</v>
      </c>
      <c r="D30" s="54">
        <v>240</v>
      </c>
      <c r="E30" s="54">
        <v>200</v>
      </c>
      <c r="F30" s="54">
        <v>200</v>
      </c>
      <c r="G30" s="54">
        <v>220</v>
      </c>
      <c r="H30" s="54">
        <v>220</v>
      </c>
      <c r="I30" s="54">
        <v>200</v>
      </c>
      <c r="J30" s="54">
        <v>240</v>
      </c>
      <c r="K30" s="54"/>
      <c r="L30" s="54"/>
      <c r="M30" s="54"/>
      <c r="N30" s="54"/>
      <c r="P30" s="62">
        <f>SUM(C30:N30)</f>
        <v>1760</v>
      </c>
    </row>
    <row r="31" spans="2:16" x14ac:dyDescent="0.3">
      <c r="B31" s="63" t="s">
        <v>38</v>
      </c>
      <c r="C31" s="54">
        <v>167.28</v>
      </c>
      <c r="D31" s="54">
        <v>167.28</v>
      </c>
      <c r="E31" s="54">
        <v>139.4</v>
      </c>
      <c r="F31" s="54">
        <v>139.4</v>
      </c>
      <c r="G31" s="54">
        <v>153.34</v>
      </c>
      <c r="H31" s="54">
        <v>153.34</v>
      </c>
      <c r="I31" s="54">
        <v>139.4</v>
      </c>
      <c r="J31" s="54">
        <v>167.28</v>
      </c>
      <c r="K31" s="54"/>
      <c r="L31" s="54"/>
      <c r="M31" s="54"/>
      <c r="N31" s="54"/>
      <c r="P31" s="62">
        <f>SUM(C31:N31)</f>
        <v>1226.72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490</v>
      </c>
    </row>
    <row r="6" spans="2:3" ht="30" customHeight="1" x14ac:dyDescent="0.3">
      <c r="B6" s="65" t="s">
        <v>47</v>
      </c>
      <c r="C6" s="33">
        <v>500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SUM('2022'!P27,'2023'!P30,'2024'!P28)</f>
        <v>8155.0000000000164</v>
      </c>
    </row>
    <row r="4" spans="2:3" ht="16.95" customHeight="1" x14ac:dyDescent="0.3">
      <c r="B4" s="38" t="s">
        <v>39</v>
      </c>
      <c r="C4" s="40">
        <f>'2022'!P12+'2023'!P12+'2024'!P12</f>
        <v>30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2024-09-03T00:04:33Z</dcterms:modified>
</cp:coreProperties>
</file>