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19FBBCD4-7482-48FD-B283-6CFF6F097CA6}" xr6:coauthVersionLast="47" xr6:coauthVersionMax="47" xr10:uidLastSave="{00000000-0000-0000-0000-000000000000}"/>
  <bookViews>
    <workbookView xWindow="-98" yWindow="-98" windowWidth="22695" windowHeight="14476" activeTab="2" xr2:uid="{00000000-000D-0000-FFFF-FFFF00000000}"/>
  </bookViews>
  <sheets>
    <sheet name="2022" sheetId="12" r:id="rId1"/>
    <sheet name="2023" sheetId="14" r:id="rId2"/>
    <sheet name="2024" sheetId="15" r:id="rId3"/>
    <sheet name="Params" sheetId="10" r:id="rId4"/>
    <sheet name="Synthése" sheetId="13" r:id="rId5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'2024'!$B$16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'2024'!$B$15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'2024'!$B$18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'2024'!$B$20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'2024'!$B$19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'2022'!$B$33</definedName>
    <definedName name="FRAIS_KM" localSheetId="1">'2023'!$B$36</definedName>
    <definedName name="FRAIS_KM" localSheetId="2">'2024'!$B$36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'2022'!$B$32</definedName>
    <definedName name="NOMBRE_KM" localSheetId="1">'2023'!$B$35</definedName>
    <definedName name="NOMBRE_KM" localSheetId="2">'2024'!$B$35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'2022'!$B$30</definedName>
    <definedName name="SOLDE" localSheetId="1">'2023'!$B$33</definedName>
    <definedName name="SOLDE" localSheetId="2">'2024'!$B$33</definedName>
    <definedName name="SORTIES" localSheetId="0">'2022'!$B$21</definedName>
    <definedName name="SORTIES" localSheetId="1">'2023'!$B$22</definedName>
    <definedName name="SORTIES" localSheetId="2">'2024'!$B$23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'2023'!$B$24</definedName>
    <definedName name="SORTIES_CHARGES_SOCIALES_PATRONALES" localSheetId="2">'2024'!$B$25</definedName>
    <definedName name="SORTIES_CHARGES_SOCIALES_PATRONALES">#REF!</definedName>
    <definedName name="SORTIES_FRAIS_KM" localSheetId="0">'2022'!$B$24</definedName>
    <definedName name="SORTIES_FRAIS_KM" localSheetId="1">'2023'!$B$25</definedName>
    <definedName name="SORTIES_FRAIS_KM" localSheetId="2">'2024'!$B$26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SALAIRE_NET" localSheetId="0">'2022'!$B$22</definedName>
    <definedName name="SORTIES_SALAIRE_NET" localSheetId="1">'2023'!$B$23</definedName>
    <definedName name="SORTIES_SALAIRE_NET" localSheetId="2">'2024'!$B$24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'2023'!$B$20</definedName>
    <definedName name="TOTAL_ENTREES" localSheetId="2">'2024'!$B$21</definedName>
    <definedName name="TOTAL_ENTREES">#REF!</definedName>
    <definedName name="TOTAL_SORTIES" localSheetId="0">'2022'!$B$26</definedName>
    <definedName name="TOTAL_SORTIES" localSheetId="1">'2023'!$B$29</definedName>
    <definedName name="TOTAL_SORTIES" localSheetId="2">'2024'!$B$29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13" i="15" l="1"/>
  <c r="P14" i="15"/>
  <c r="P36" i="15"/>
  <c r="P35" i="15"/>
  <c r="N33" i="15"/>
  <c r="M33" i="15"/>
  <c r="P31" i="15"/>
  <c r="L29" i="15"/>
  <c r="K29" i="15"/>
  <c r="J29" i="15"/>
  <c r="I29" i="15"/>
  <c r="H29" i="15"/>
  <c r="G29" i="15"/>
  <c r="F29" i="15"/>
  <c r="P28" i="15"/>
  <c r="C27" i="15"/>
  <c r="P26" i="15"/>
  <c r="E25" i="15"/>
  <c r="E29" i="15" s="1"/>
  <c r="D25" i="15"/>
  <c r="D29" i="15" s="1"/>
  <c r="C25" i="15"/>
  <c r="P25" i="15" s="1"/>
  <c r="P24" i="15"/>
  <c r="L21" i="15"/>
  <c r="L33" i="15" s="1"/>
  <c r="K21" i="15"/>
  <c r="J21" i="15"/>
  <c r="J33" i="15" s="1"/>
  <c r="I21" i="15"/>
  <c r="I33" i="15" s="1"/>
  <c r="H21" i="15"/>
  <c r="G21" i="15"/>
  <c r="F21" i="15"/>
  <c r="E21" i="15"/>
  <c r="P20" i="15"/>
  <c r="E19" i="15"/>
  <c r="D19" i="15"/>
  <c r="C19" i="15"/>
  <c r="C21" i="15" s="1"/>
  <c r="P16" i="15"/>
  <c r="P15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6" i="14"/>
  <c r="P35" i="14"/>
  <c r="P31" i="14"/>
  <c r="L29" i="14"/>
  <c r="I29" i="14"/>
  <c r="D29" i="14"/>
  <c r="P28" i="14"/>
  <c r="P27" i="14"/>
  <c r="P26" i="14"/>
  <c r="P25" i="14"/>
  <c r="N24" i="14"/>
  <c r="N29" i="14" s="1"/>
  <c r="M24" i="14"/>
  <c r="M29" i="14" s="1"/>
  <c r="L24" i="14"/>
  <c r="K24" i="14"/>
  <c r="K29" i="14" s="1"/>
  <c r="K33" i="14" s="1"/>
  <c r="J24" i="14"/>
  <c r="J29" i="14" s="1"/>
  <c r="I24" i="14"/>
  <c r="H24" i="14"/>
  <c r="H29" i="14" s="1"/>
  <c r="G24" i="14"/>
  <c r="G29" i="14" s="1"/>
  <c r="F24" i="14"/>
  <c r="F29" i="14" s="1"/>
  <c r="E24" i="14"/>
  <c r="E29" i="14" s="1"/>
  <c r="D24" i="14"/>
  <c r="C24" i="14"/>
  <c r="P24" i="14" s="1"/>
  <c r="P23" i="14"/>
  <c r="K20" i="14"/>
  <c r="I20" i="14"/>
  <c r="I33" i="14" s="1"/>
  <c r="H20" i="14"/>
  <c r="H33" i="14" s="1"/>
  <c r="C20" i="14"/>
  <c r="P19" i="14"/>
  <c r="P18" i="14"/>
  <c r="N17" i="14"/>
  <c r="N20" i="14" s="1"/>
  <c r="N33" i="14" s="1"/>
  <c r="M17" i="14"/>
  <c r="M20" i="14" s="1"/>
  <c r="L17" i="14"/>
  <c r="L20" i="14" s="1"/>
  <c r="L33" i="14" s="1"/>
  <c r="K17" i="14"/>
  <c r="J17" i="14"/>
  <c r="J20" i="14" s="1"/>
  <c r="J33" i="14" s="1"/>
  <c r="I17" i="14"/>
  <c r="H17" i="14"/>
  <c r="G17" i="14"/>
  <c r="G20" i="14" s="1"/>
  <c r="F17" i="14"/>
  <c r="F20" i="14" s="1"/>
  <c r="F33" i="14" s="1"/>
  <c r="E17" i="14"/>
  <c r="E20" i="14" s="1"/>
  <c r="D17" i="14"/>
  <c r="D20" i="14" s="1"/>
  <c r="D33" i="14" s="1"/>
  <c r="C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33" i="12"/>
  <c r="P32" i="12"/>
  <c r="L30" i="12"/>
  <c r="I30" i="12"/>
  <c r="D30" i="12"/>
  <c r="P28" i="12"/>
  <c r="L26" i="12"/>
  <c r="K26" i="12"/>
  <c r="J26" i="12"/>
  <c r="I26" i="12"/>
  <c r="H26" i="12"/>
  <c r="G26" i="12"/>
  <c r="F26" i="12"/>
  <c r="E26" i="12"/>
  <c r="D26" i="12"/>
  <c r="C26" i="12"/>
  <c r="P25" i="12"/>
  <c r="P24" i="12"/>
  <c r="N23" i="12"/>
  <c r="N26" i="12" s="1"/>
  <c r="M23" i="12"/>
  <c r="M26" i="12" s="1"/>
  <c r="P22" i="12"/>
  <c r="N19" i="12"/>
  <c r="M19" i="12"/>
  <c r="M30" i="12" s="1"/>
  <c r="L19" i="12"/>
  <c r="K19" i="12"/>
  <c r="K30" i="12" s="1"/>
  <c r="J19" i="12"/>
  <c r="J30" i="12" s="1"/>
  <c r="I19" i="12"/>
  <c r="H19" i="12"/>
  <c r="H30" i="12" s="1"/>
  <c r="G19" i="12"/>
  <c r="G30" i="12" s="1"/>
  <c r="F19" i="12"/>
  <c r="F30" i="12" s="1"/>
  <c r="E19" i="12"/>
  <c r="E30" i="12" s="1"/>
  <c r="D19" i="12"/>
  <c r="C19" i="12"/>
  <c r="P19" i="12" s="1"/>
  <c r="P18" i="12"/>
  <c r="P17" i="12"/>
  <c r="P14" i="12"/>
  <c r="P13" i="12"/>
  <c r="P12" i="12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P19" i="15" l="1"/>
  <c r="C29" i="15"/>
  <c r="F33" i="15"/>
  <c r="H33" i="15"/>
  <c r="P8" i="15"/>
  <c r="K33" i="15"/>
  <c r="D21" i="15"/>
  <c r="D33" i="15" s="1"/>
  <c r="G33" i="15"/>
  <c r="C4" i="13"/>
  <c r="C33" i="15"/>
  <c r="G33" i="14"/>
  <c r="P29" i="15"/>
  <c r="P20" i="14"/>
  <c r="E33" i="15"/>
  <c r="N30" i="12"/>
  <c r="P26" i="12"/>
  <c r="E33" i="14"/>
  <c r="M33" i="14"/>
  <c r="P17" i="14"/>
  <c r="P23" i="12"/>
  <c r="P27" i="15"/>
  <c r="C30" i="12"/>
  <c r="C29" i="14"/>
  <c r="P21" i="15" l="1"/>
  <c r="P30" i="12"/>
  <c r="P29" i="14"/>
  <c r="C33" i="14"/>
  <c r="P33" i="14" s="1"/>
  <c r="P33" i="15"/>
  <c r="C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M2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à déduire du salaire Décembre 2022/Février 2023/Mars 2023/Avril 2023 à raison de 500 euros par mois</t>
        </r>
      </text>
    </comment>
    <comment ref="N28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  <author>youss</author>
  </authors>
  <commentList>
    <comment ref="L18" authorId="0" shapeId="0" xr:uid="{57115316-EF6E-4EC0-847D-99C4C82BDA6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9" authorId="0" shapeId="0" xr:uid="{B002C6BE-9DEA-4D8B-801B-6F703E6A3C0F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Remboursement par Virement bancaire</t>
        </r>
      </text>
    </comment>
    <comment ref="C2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Rembousement Facture Formation à déduire de la cagnotte
</t>
        </r>
      </text>
    </comment>
    <comment ref="L28" authorId="0" shapeId="0" xr:uid="{C052A112-8719-4D85-BFB8-905F1EF7245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 partir de Juin 2024 </t>
        </r>
      </text>
    </comment>
    <comment ref="M28" authorId="0" shapeId="0" xr:uid="{69DE9A74-B18E-44EA-BF47-D299D891E9A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Remboursement par virement bancaire</t>
        </r>
      </text>
    </comment>
    <comment ref="D31" authorId="1" shapeId="0" xr:uid="{00000000-0006-0000-0100-000002000000}">
      <text>
        <r>
          <rPr>
            <b/>
            <sz val="11"/>
            <color indexed="81"/>
            <rFont val="Tahoma"/>
            <family val="2"/>
          </rPr>
          <t xml:space="preserve">youss:
</t>
        </r>
        <r>
          <rPr>
            <sz val="11"/>
            <color indexed="81"/>
            <rFont val="Tahoma"/>
            <family val="2"/>
          </rPr>
          <t>Déduction du Salaire
Remboursement Acompte 2000 euros Novembre 2022</t>
        </r>
      </text>
    </comment>
    <comment ref="E31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du Salaire
Remboursement Acompte 2000 euros Novembre 2022</t>
        </r>
      </text>
    </comment>
    <comment ref="F31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du Salaire
Remboursement Acompte 2000 euros Novembre 2022</t>
        </r>
      </text>
    </comment>
  </commentList>
</comments>
</file>

<file path=xl/sharedStrings.xml><?xml version="1.0" encoding="utf-8"?>
<sst xmlns="http://schemas.openxmlformats.org/spreadsheetml/2006/main" count="129" uniqueCount="52">
  <si>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</si>
  <si>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</si>
  <si>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</si>
  <si>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</si>
  <si>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</si>
  <si>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</si>
  <si>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</si>
  <si>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</si>
  <si>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</si>
  <si>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</si>
  <si>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</si>
  <si>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</si>
  <si>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</si>
  <si>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</si>
  <si>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</si>
  <si>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</si>
  <si>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</si>
  <si>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</si>
  <si>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</si>
  <si>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</si>
  <si>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</si>
  <si>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</si>
  <si>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</si>
  <si>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</si>
  <si>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</si>
  <si>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</si>
  <si>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</si>
  <si>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</si>
  <si>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</si>
  <si>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</si>
  <si>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</si>
  <si>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</si>
  <si>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</si>
  <si>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</si>
  <si>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</si>
  <si>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</si>
  <si>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</si>
  <si>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</si>
  <si>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</si>
  <si>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</si>
  <si>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</si>
  <si>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Acompte Versé</t>
  </si>
  <si>
    <t>Acompte Remboursé</t>
  </si>
  <si>
    <t>Frais Formation</t>
  </si>
  <si>
    <t>TJM (Novembre 2022)</t>
  </si>
  <si>
    <t>TJM (Février 2023)</t>
  </si>
  <si>
    <t>TJM (Août 2023)</t>
  </si>
  <si>
    <t>Acompte versé</t>
  </si>
  <si>
    <t>Remboursement Acompte</t>
  </si>
  <si>
    <t>Achat HT</t>
  </si>
  <si>
    <t>Paternité</t>
  </si>
  <si>
    <t>Exceptionnel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</si>
</sst>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12" borderId="2" xfId="0" applyNumberFormat="1" applyFont="1" applyFill="1" applyBorder="1"/>
    <xf numFmtId="0" fontId="0" fillId="13" borderId="1" xfId="0" applyFill="1" applyBorder="1" applyProtection="1">
      <protection locked="0"/>
    </xf>
    <xf numFmtId="0" fontId="0" fillId="13" borderId="1" xfId="0" applyFill="1" applyBorder="1"/>
    <xf numFmtId="0" fontId="1" fillId="1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13" borderId="1" xfId="0" applyFill="1" applyBorder="1" applyAlignment="1">
      <alignment horizontal="center"/>
    </xf>
    <xf numFmtId="4" fontId="4" fillId="0" borderId="2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3" workbookViewId="0">
      <selection activeCell="N35" sqref="N3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72" t="s">
        <v>9</v>
      </c>
    </row>
    <row r="2" spans="2:16" x14ac:dyDescent="0.45">
      <c r="B2" s="7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>
        <v>19</v>
      </c>
      <c r="O6" s="36"/>
      <c r="P6" s="58">
        <f>SUM(C6:N6)</f>
        <v>38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20</v>
      </c>
      <c r="N7" s="37">
        <v>22</v>
      </c>
      <c r="O7" s="36"/>
      <c r="P7" s="58">
        <f>SUM(C7:N7)</f>
        <v>42</v>
      </c>
    </row>
    <row r="8" spans="2:16" x14ac:dyDescent="0.45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1</v>
      </c>
      <c r="N8" s="64">
        <f t="shared" si="0"/>
        <v>3</v>
      </c>
      <c r="O8" s="36"/>
      <c r="P8" s="58">
        <f>SUM(C8:N8)</f>
        <v>4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20</v>
      </c>
      <c r="N11" s="11">
        <v>22</v>
      </c>
      <c r="P11" s="59">
        <f>SUM(C11:N11)</f>
        <v>42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v>10413</v>
      </c>
      <c r="N17" s="10">
        <v>11461.800000000001</v>
      </c>
      <c r="O17" s="4"/>
      <c r="P17" s="41">
        <f>SUM(C17:N17)</f>
        <v>21874.800000000003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10413</v>
      </c>
      <c r="N19" s="28">
        <f t="shared" si="1"/>
        <v>11461.800000000001</v>
      </c>
      <c r="O19" s="5"/>
      <c r="P19" s="42">
        <f>SUM(C19:O19)</f>
        <v>21874.800000000003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>
        <v>5770.62</v>
      </c>
      <c r="N22" s="10">
        <v>5270.62</v>
      </c>
      <c r="O22" s="4"/>
      <c r="P22" s="43">
        <f>SUM(C22:N22)</f>
        <v>11041.24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>
        <f>1244.65+2315.56</f>
        <v>3560.21</v>
      </c>
      <c r="N23" s="10">
        <f>1244.65+2315.56</f>
        <v>3560.21</v>
      </c>
      <c r="O23" s="4"/>
      <c r="P23" s="43">
        <f>SUM(C23:N23)</f>
        <v>7120.42</v>
      </c>
    </row>
    <row r="24" spans="2:16" x14ac:dyDescent="0.45">
      <c r="B24" s="55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>
        <v>568.6</v>
      </c>
      <c r="N24" s="10">
        <v>615.46</v>
      </c>
      <c r="O24" s="4"/>
      <c r="P24" s="43">
        <f>SUM(C24:N24)</f>
        <v>1184.06</v>
      </c>
    </row>
    <row r="25" spans="2:16" x14ac:dyDescent="0.45">
      <c r="B25" s="55" t="s">
        <v>41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65">
        <v>2000</v>
      </c>
      <c r="N25" s="56"/>
      <c r="O25" s="4"/>
      <c r="P25" s="43">
        <f>SUM(C25:N25)</f>
        <v>2000</v>
      </c>
    </row>
    <row r="26" spans="2:16" x14ac:dyDescent="0.45">
      <c r="B26" s="8" t="s">
        <v>3</v>
      </c>
      <c r="C26" s="44">
        <f t="shared" ref="C26" si="2">SUM(C22:C25)</f>
        <v>0</v>
      </c>
      <c r="D26" s="44">
        <f t="shared" ref="D26" si="3">SUM(D22:D25)</f>
        <v>0</v>
      </c>
      <c r="E26" s="44">
        <f t="shared" ref="E26" si="4">SUM(E22:E25)</f>
        <v>0</v>
      </c>
      <c r="F26" s="44">
        <f t="shared" ref="F26" si="5">SUM(F22:F25)</f>
        <v>0</v>
      </c>
      <c r="G26" s="44">
        <f t="shared" ref="G26" si="6">SUM(G22:G25)</f>
        <v>0</v>
      </c>
      <c r="H26" s="44">
        <f t="shared" ref="H26" si="7">SUM(H22:H25)</f>
        <v>0</v>
      </c>
      <c r="I26" s="44">
        <f t="shared" ref="I26" si="8">SUM(I22:I25)</f>
        <v>0</v>
      </c>
      <c r="J26" s="44">
        <f t="shared" ref="J26" si="9">SUM(J22:J25)</f>
        <v>0</v>
      </c>
      <c r="K26" s="44">
        <f t="shared" ref="K26" si="10">SUM(K22:K25)</f>
        <v>0</v>
      </c>
      <c r="L26" s="44">
        <f t="shared" ref="L26" si="11">SUM(L22:L25)</f>
        <v>0</v>
      </c>
      <c r="M26" s="44">
        <f>SUM(M22:M25)</f>
        <v>11899.43</v>
      </c>
      <c r="N26" s="44">
        <f>SUM(N22:N25)</f>
        <v>9446.2900000000009</v>
      </c>
      <c r="O26" s="4"/>
      <c r="P26" s="61">
        <f>SUM(C26:N26)</f>
        <v>21345.72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66" t="s">
        <v>42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70">
        <v>500</v>
      </c>
      <c r="P28" s="68">
        <f>SUM(C28:N28)</f>
        <v>500</v>
      </c>
    </row>
    <row r="29" spans="2:16" x14ac:dyDescent="0.45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5">
      <c r="B30" s="46" t="s">
        <v>36</v>
      </c>
      <c r="C30" s="47">
        <f t="shared" ref="C30:N30" si="12">C19-C26</f>
        <v>0</v>
      </c>
      <c r="D30" s="47">
        <f t="shared" si="12"/>
        <v>0</v>
      </c>
      <c r="E30" s="47">
        <f t="shared" si="12"/>
        <v>0</v>
      </c>
      <c r="F30" s="47">
        <f t="shared" si="12"/>
        <v>0</v>
      </c>
      <c r="G30" s="47">
        <f t="shared" si="12"/>
        <v>0</v>
      </c>
      <c r="H30" s="47">
        <f t="shared" si="12"/>
        <v>0</v>
      </c>
      <c r="I30" s="47">
        <f t="shared" si="12"/>
        <v>0</v>
      </c>
      <c r="J30" s="47">
        <f t="shared" si="12"/>
        <v>0</v>
      </c>
      <c r="K30" s="47">
        <f t="shared" si="12"/>
        <v>0</v>
      </c>
      <c r="L30" s="47">
        <f t="shared" si="12"/>
        <v>0</v>
      </c>
      <c r="M30" s="47">
        <f t="shared" si="12"/>
        <v>-1486.4300000000003</v>
      </c>
      <c r="N30" s="47">
        <f t="shared" si="12"/>
        <v>2015.5100000000002</v>
      </c>
      <c r="P30" s="60">
        <f>SUM(C30:O30)</f>
        <v>529.07999999999993</v>
      </c>
    </row>
    <row r="32" spans="2:16" x14ac:dyDescent="0.45">
      <c r="B32" s="63" t="s">
        <v>37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>
        <v>1320</v>
      </c>
      <c r="N32" s="54">
        <v>1452</v>
      </c>
      <c r="P32" s="62">
        <f>SUM(C32:N32)</f>
        <v>2772</v>
      </c>
    </row>
    <row r="33" spans="2:16" x14ac:dyDescent="0.45">
      <c r="B33" s="63" t="s">
        <v>38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>
        <v>568.6</v>
      </c>
      <c r="N33" s="54">
        <v>615.46</v>
      </c>
      <c r="P33" s="62">
        <f>SUM(C33:N33)</f>
        <v>1184.06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9"/>
  <sheetViews>
    <sheetView topLeftCell="B5" workbookViewId="0">
      <selection activeCell="N28" sqref="N28"/>
    </sheetView>
  </sheetViews>
  <sheetFormatPr baseColWidth="10" defaultRowHeight="14.25" x14ac:dyDescent="0.45"/>
  <cols>
    <col min="1" max="1" width="3" customWidth="1"/>
    <col min="2" max="2" width="28" customWidth="1"/>
    <col min="14" max="14" width="18.73046875" bestFit="1" customWidth="1"/>
    <col min="15" max="15" width="4" customWidth="1"/>
    <col min="16" max="16" width="11" style="48" customWidth="1"/>
  </cols>
  <sheetData>
    <row r="1" spans="2:16" x14ac:dyDescent="0.45">
      <c r="B1" s="72" t="s">
        <v>9</v>
      </c>
    </row>
    <row r="2" spans="2:16" x14ac:dyDescent="0.45">
      <c r="B2" s="7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45">
      <c r="B7" s="9" t="s">
        <v>21</v>
      </c>
      <c r="C7" s="37">
        <v>22</v>
      </c>
      <c r="D7" s="37">
        <v>20</v>
      </c>
      <c r="E7" s="37">
        <v>22</v>
      </c>
      <c r="F7" s="37">
        <v>18</v>
      </c>
      <c r="G7" s="37">
        <v>15</v>
      </c>
      <c r="H7" s="37">
        <v>22</v>
      </c>
      <c r="I7" s="37">
        <v>19</v>
      </c>
      <c r="J7" s="37">
        <v>21.5</v>
      </c>
      <c r="K7" s="37">
        <v>20</v>
      </c>
      <c r="L7" s="37">
        <v>17</v>
      </c>
      <c r="M7" s="37">
        <v>12</v>
      </c>
      <c r="N7" s="37">
        <v>20</v>
      </c>
      <c r="O7" s="36"/>
      <c r="P7" s="58">
        <f>SUM(C7:N7)</f>
        <v>228.5</v>
      </c>
    </row>
    <row r="8" spans="2:16" x14ac:dyDescent="0.45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3</v>
      </c>
      <c r="F8" s="64">
        <f t="shared" si="0"/>
        <v>-1</v>
      </c>
      <c r="G8" s="64">
        <f t="shared" si="0"/>
        <v>-4</v>
      </c>
      <c r="H8" s="64">
        <f t="shared" si="0"/>
        <v>3</v>
      </c>
      <c r="I8" s="64">
        <f t="shared" si="0"/>
        <v>0</v>
      </c>
      <c r="J8" s="64">
        <f t="shared" si="0"/>
        <v>2.5</v>
      </c>
      <c r="K8" s="64">
        <f t="shared" si="0"/>
        <v>1</v>
      </c>
      <c r="L8" s="64">
        <f t="shared" si="0"/>
        <v>-2</v>
      </c>
      <c r="M8" s="64">
        <f t="shared" si="0"/>
        <v>-7</v>
      </c>
      <c r="N8" s="64">
        <f t="shared" si="0"/>
        <v>1</v>
      </c>
      <c r="O8" s="36"/>
      <c r="P8" s="58">
        <f>SUM(C8:N8)</f>
        <v>0.5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21.5</v>
      </c>
      <c r="D11" s="11">
        <v>20</v>
      </c>
      <c r="E11" s="11">
        <v>22</v>
      </c>
      <c r="F11" s="11">
        <v>18</v>
      </c>
      <c r="G11" s="11">
        <v>15</v>
      </c>
      <c r="H11" s="11">
        <v>22</v>
      </c>
      <c r="I11" s="11">
        <v>19</v>
      </c>
      <c r="J11" s="11">
        <v>21.5</v>
      </c>
      <c r="K11" s="11">
        <v>19.5</v>
      </c>
      <c r="L11" s="11">
        <v>17</v>
      </c>
      <c r="M11" s="11">
        <v>12</v>
      </c>
      <c r="N11" s="11">
        <v>20</v>
      </c>
      <c r="P11" s="59">
        <f>SUM(C11:N11)</f>
        <v>227.5</v>
      </c>
    </row>
    <row r="12" spans="2:16" x14ac:dyDescent="0.45">
      <c r="B12" s="9" t="s">
        <v>16</v>
      </c>
      <c r="C12" s="12">
        <v>0.5</v>
      </c>
      <c r="D12" s="12"/>
      <c r="E12" s="12">
        <v>1</v>
      </c>
      <c r="F12" s="12">
        <v>1</v>
      </c>
      <c r="G12" s="12">
        <v>5</v>
      </c>
      <c r="H12" s="12"/>
      <c r="I12" s="12">
        <v>1</v>
      </c>
      <c r="J12" s="12">
        <v>0.5</v>
      </c>
      <c r="K12" s="12">
        <v>1.5</v>
      </c>
      <c r="L12" s="12">
        <v>6</v>
      </c>
      <c r="M12" s="12">
        <v>9</v>
      </c>
      <c r="N12" s="12"/>
      <c r="P12" s="59">
        <f>SUM(C12:N12)</f>
        <v>25.5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>
        <v>1</v>
      </c>
      <c r="M14" s="23"/>
      <c r="N14" s="23"/>
      <c r="P14" s="59">
        <f>SUM(C14:N14)</f>
        <v>1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11199.6</v>
      </c>
      <c r="D17" s="10">
        <f>D11*Params!$C$6*(1-Params!$C$3)-Params!$C$4</f>
        <v>10965</v>
      </c>
      <c r="E17" s="10">
        <f>E11*Params!$C$6*(1-Params!$C$3)-Params!$C$4</f>
        <v>12069</v>
      </c>
      <c r="F17" s="10">
        <f>F11*Params!$C$6*(1-Params!$C$3)-Params!$C$4</f>
        <v>9861</v>
      </c>
      <c r="G17" s="10">
        <f>G11*Params!$C$6*(1-Params!$C$3)-Params!$C$4</f>
        <v>8205</v>
      </c>
      <c r="H17" s="10">
        <f>H11*Params!$C$6*(1-Params!$C$3)-Params!$C$4</f>
        <v>12069</v>
      </c>
      <c r="I17" s="10">
        <f>I11*Params!$C$6*(1-Params!$C$3)-Params!$C$4</f>
        <v>10413</v>
      </c>
      <c r="J17" s="10">
        <f>(4*Params!$C$6)+(17.5*Params!C7)*(1-Params!$C$3)-Params!$C$4</f>
        <v>12790</v>
      </c>
      <c r="K17" s="10">
        <f>K11*Params!$C$7*(1-Params!$C$3)-Params!$C$4</f>
        <v>11586</v>
      </c>
      <c r="L17" s="10">
        <f>L11*Params!$C$7*(1-Params!$C$3)-Params!$C$4</f>
        <v>10091</v>
      </c>
      <c r="M17" s="10">
        <f>M11*Params!$C$7*(1-Params!$C$3)-Params!$C$4</f>
        <v>7101</v>
      </c>
      <c r="N17" s="10">
        <f>N11*Params!$C$7*(1-Params!$C$3)-Params!$C$4</f>
        <v>11885</v>
      </c>
      <c r="O17" s="4"/>
      <c r="P17" s="41">
        <f>SUM(C17:N17)</f>
        <v>128234.6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>
        <v>975</v>
      </c>
      <c r="M18" s="10"/>
      <c r="N18" s="10"/>
      <c r="O18" s="4"/>
      <c r="P18" s="41">
        <f>SUM(C18:N18)</f>
        <v>975</v>
      </c>
    </row>
    <row r="19" spans="2:16" x14ac:dyDescent="0.45">
      <c r="B19" s="55" t="s">
        <v>48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>
        <v>3000</v>
      </c>
      <c r="N19" s="56"/>
      <c r="O19" s="4"/>
      <c r="P19" s="41">
        <f>SUM(C19:N19)</f>
        <v>3000</v>
      </c>
    </row>
    <row r="20" spans="2:16" x14ac:dyDescent="0.45">
      <c r="B20" s="27" t="s">
        <v>2</v>
      </c>
      <c r="C20" s="28">
        <f t="shared" ref="C20:N20" si="1">SUM(C17:C18)</f>
        <v>11199.6</v>
      </c>
      <c r="D20" s="28">
        <f t="shared" si="1"/>
        <v>10965</v>
      </c>
      <c r="E20" s="28">
        <f t="shared" si="1"/>
        <v>12069</v>
      </c>
      <c r="F20" s="28">
        <f t="shared" si="1"/>
        <v>9861</v>
      </c>
      <c r="G20" s="28">
        <f t="shared" si="1"/>
        <v>8205</v>
      </c>
      <c r="H20" s="28">
        <f t="shared" si="1"/>
        <v>12069</v>
      </c>
      <c r="I20" s="28">
        <f t="shared" si="1"/>
        <v>10413</v>
      </c>
      <c r="J20" s="28">
        <f t="shared" si="1"/>
        <v>12790</v>
      </c>
      <c r="K20" s="28">
        <f t="shared" si="1"/>
        <v>11586</v>
      </c>
      <c r="L20" s="28">
        <f t="shared" si="1"/>
        <v>11066</v>
      </c>
      <c r="M20" s="28">
        <f>SUM(M17:M19)</f>
        <v>10101</v>
      </c>
      <c r="N20" s="28">
        <f t="shared" si="1"/>
        <v>11885</v>
      </c>
      <c r="O20" s="5"/>
      <c r="P20" s="42">
        <f>SUM(C20:N20)</f>
        <v>132209.60000000001</v>
      </c>
    </row>
    <row r="21" spans="2:16" x14ac:dyDescent="0.4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5">
      <c r="B23" s="9" t="s">
        <v>7</v>
      </c>
      <c r="C23" s="10">
        <v>5765.14</v>
      </c>
      <c r="D23" s="10">
        <v>5476.07</v>
      </c>
      <c r="E23" s="10">
        <v>5476.07</v>
      </c>
      <c r="F23" s="10">
        <v>5476.07</v>
      </c>
      <c r="G23" s="10">
        <v>5976.07</v>
      </c>
      <c r="H23" s="10">
        <v>5976.07</v>
      </c>
      <c r="I23" s="10">
        <v>5976.07</v>
      </c>
      <c r="J23" s="10">
        <v>11404.26</v>
      </c>
      <c r="K23" s="10">
        <v>5976.07</v>
      </c>
      <c r="L23" s="10">
        <v>5976.07</v>
      </c>
      <c r="M23" s="10">
        <v>5976.07</v>
      </c>
      <c r="N23" s="10">
        <v>5976.07</v>
      </c>
      <c r="O23" s="4"/>
      <c r="P23" s="43">
        <f t="shared" ref="P23:P29" si="2">SUM(C23:N23)</f>
        <v>75430.100000000006</v>
      </c>
    </row>
    <row r="24" spans="2:16" x14ac:dyDescent="0.45">
      <c r="B24" s="9" t="s">
        <v>8</v>
      </c>
      <c r="C24" s="10">
        <f>1250.13+2318.04</f>
        <v>3568.17</v>
      </c>
      <c r="D24" s="10">
        <f>1344.15+2528.5</f>
        <v>3872.65</v>
      </c>
      <c r="E24" s="10">
        <f>1344.15+2528.13</f>
        <v>3872.28</v>
      </c>
      <c r="F24" s="10">
        <f>1344.15+2528.95</f>
        <v>3873.1</v>
      </c>
      <c r="G24" s="10">
        <f>1344.15+2532</f>
        <v>3876.15</v>
      </c>
      <c r="H24" s="10">
        <f>1344.15+2533.8</f>
        <v>3877.9500000000003</v>
      </c>
      <c r="I24" s="10">
        <f>1344.15+2529.65</f>
        <v>3873.8</v>
      </c>
      <c r="J24" s="10">
        <f>1915.96+2530.47</f>
        <v>4446.43</v>
      </c>
      <c r="K24" s="10">
        <f>1344.15+2530.07</f>
        <v>3874.2200000000003</v>
      </c>
      <c r="L24" s="10">
        <f>1344.15+2530.89</f>
        <v>3875.04</v>
      </c>
      <c r="M24" s="10">
        <f>1344.15+2534.63</f>
        <v>3878.78</v>
      </c>
      <c r="N24" s="10">
        <f>1344.15+2537.12</f>
        <v>3881.27</v>
      </c>
      <c r="O24" s="4"/>
      <c r="P24" s="43">
        <f t="shared" si="2"/>
        <v>46769.84</v>
      </c>
    </row>
    <row r="25" spans="2:16" x14ac:dyDescent="0.45">
      <c r="B25" s="55" t="s">
        <v>40</v>
      </c>
      <c r="C25" s="10">
        <v>592.03</v>
      </c>
      <c r="D25" s="10">
        <v>568.6</v>
      </c>
      <c r="E25" s="10">
        <v>592.03</v>
      </c>
      <c r="F25" s="10">
        <v>544.31200000000001</v>
      </c>
      <c r="G25" s="10">
        <v>470.26</v>
      </c>
      <c r="H25" s="10">
        <v>643.048</v>
      </c>
      <c r="I25" s="10">
        <v>568.99599999999998</v>
      </c>
      <c r="J25" s="10">
        <v>643.048</v>
      </c>
      <c r="K25" s="10">
        <v>568.99599999999998</v>
      </c>
      <c r="L25" s="10">
        <v>544.31200000000001</v>
      </c>
      <c r="M25" s="10">
        <v>396.20800000000003</v>
      </c>
      <c r="N25" s="10">
        <v>593.67999999999995</v>
      </c>
      <c r="O25" s="4"/>
      <c r="P25" s="43">
        <f t="shared" si="2"/>
        <v>6725.5199999999995</v>
      </c>
    </row>
    <row r="26" spans="2:16" x14ac:dyDescent="0.45">
      <c r="B26" s="55" t="s">
        <v>43</v>
      </c>
      <c r="C26" s="10">
        <v>781.25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3945</v>
      </c>
      <c r="O26" s="4"/>
      <c r="P26" s="43">
        <f t="shared" si="2"/>
        <v>4726.25</v>
      </c>
    </row>
    <row r="27" spans="2:16" x14ac:dyDescent="0.45">
      <c r="B27" s="55" t="s">
        <v>49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>
        <v>2706.62</v>
      </c>
      <c r="N27" s="10"/>
      <c r="O27" s="4"/>
      <c r="P27" s="43">
        <f t="shared" si="2"/>
        <v>2706.62</v>
      </c>
    </row>
    <row r="28" spans="2:16" x14ac:dyDescent="0.45">
      <c r="B28" s="55" t="s">
        <v>47</v>
      </c>
      <c r="C28" s="10"/>
      <c r="D28" s="10"/>
      <c r="E28" s="10"/>
      <c r="F28" s="10"/>
      <c r="G28" s="10"/>
      <c r="H28" s="10"/>
      <c r="I28" s="10"/>
      <c r="J28" s="10"/>
      <c r="K28" s="10"/>
      <c r="L28" s="10">
        <v>6000</v>
      </c>
      <c r="M28" s="10">
        <v>3000</v>
      </c>
      <c r="N28" s="10"/>
      <c r="O28" s="4"/>
      <c r="P28" s="43">
        <f t="shared" si="2"/>
        <v>9000</v>
      </c>
    </row>
    <row r="29" spans="2:16" x14ac:dyDescent="0.45">
      <c r="B29" s="69" t="s">
        <v>3</v>
      </c>
      <c r="C29" s="44">
        <f t="shared" ref="C29:N29" si="3">SUM(C23:C28)</f>
        <v>10706.590000000002</v>
      </c>
      <c r="D29" s="44">
        <f t="shared" si="3"/>
        <v>9917.32</v>
      </c>
      <c r="E29" s="44">
        <f t="shared" si="3"/>
        <v>9940.380000000001</v>
      </c>
      <c r="F29" s="44">
        <f t="shared" si="3"/>
        <v>9893.482</v>
      </c>
      <c r="G29" s="44">
        <f t="shared" si="3"/>
        <v>10322.48</v>
      </c>
      <c r="H29" s="44">
        <f t="shared" si="3"/>
        <v>10497.068000000001</v>
      </c>
      <c r="I29" s="44">
        <f t="shared" si="3"/>
        <v>10418.865999999998</v>
      </c>
      <c r="J29" s="44">
        <f t="shared" si="3"/>
        <v>16493.738000000001</v>
      </c>
      <c r="K29" s="44">
        <f t="shared" si="3"/>
        <v>10419.286</v>
      </c>
      <c r="L29" s="44">
        <f t="shared" si="3"/>
        <v>16395.421999999999</v>
      </c>
      <c r="M29" s="44">
        <f t="shared" si="3"/>
        <v>15957.678</v>
      </c>
      <c r="N29" s="44">
        <f t="shared" si="3"/>
        <v>14396.02</v>
      </c>
      <c r="O29" s="4"/>
      <c r="P29" s="61">
        <f t="shared" si="2"/>
        <v>145358.32999999999</v>
      </c>
    </row>
    <row r="31" spans="2:16" x14ac:dyDescent="0.45">
      <c r="B31" s="66" t="s">
        <v>42</v>
      </c>
      <c r="C31" s="67"/>
      <c r="D31" s="70">
        <v>500</v>
      </c>
      <c r="E31" s="67">
        <v>500</v>
      </c>
      <c r="F31" s="67">
        <v>500</v>
      </c>
      <c r="G31" s="67"/>
      <c r="H31" s="67"/>
      <c r="I31" s="67"/>
      <c r="J31" s="67"/>
      <c r="K31" s="67"/>
      <c r="L31" s="67"/>
      <c r="M31" s="67"/>
      <c r="N31" s="67"/>
      <c r="P31" s="68">
        <f>SUM(C31:N31)</f>
        <v>1500</v>
      </c>
    </row>
    <row r="33" spans="2:16" x14ac:dyDescent="0.45">
      <c r="B33" s="46" t="s">
        <v>36</v>
      </c>
      <c r="C33" s="47">
        <f t="shared" ref="C33:N33" si="4">C20-C29</f>
        <v>493.0099999999984</v>
      </c>
      <c r="D33" s="47">
        <f t="shared" si="4"/>
        <v>1047.6800000000003</v>
      </c>
      <c r="E33" s="47">
        <f t="shared" si="4"/>
        <v>2128.619999999999</v>
      </c>
      <c r="F33" s="47">
        <f t="shared" si="4"/>
        <v>-32.481999999999971</v>
      </c>
      <c r="G33" s="47">
        <f t="shared" si="4"/>
        <v>-2117.4799999999996</v>
      </c>
      <c r="H33" s="47">
        <f t="shared" si="4"/>
        <v>1571.9319999999989</v>
      </c>
      <c r="I33" s="47">
        <f t="shared" si="4"/>
        <v>-5.8659999999981665</v>
      </c>
      <c r="J33" s="47">
        <f t="shared" si="4"/>
        <v>-3703.7380000000012</v>
      </c>
      <c r="K33" s="47">
        <f t="shared" si="4"/>
        <v>1166.7139999999999</v>
      </c>
      <c r="L33" s="47">
        <f t="shared" si="4"/>
        <v>-5329.4219999999987</v>
      </c>
      <c r="M33" s="47">
        <f t="shared" si="4"/>
        <v>-5856.6779999999999</v>
      </c>
      <c r="N33" s="47">
        <f t="shared" si="4"/>
        <v>-2511.0200000000004</v>
      </c>
      <c r="P33" s="60">
        <f>SUM(C33:N33)</f>
        <v>-13148.730000000001</v>
      </c>
    </row>
    <row r="35" spans="2:16" x14ac:dyDescent="0.45">
      <c r="B35" s="63" t="s">
        <v>37</v>
      </c>
      <c r="C35" s="54">
        <v>1386</v>
      </c>
      <c r="D35" s="54">
        <v>1320</v>
      </c>
      <c r="E35" s="54">
        <v>1386</v>
      </c>
      <c r="F35" s="54">
        <v>1188</v>
      </c>
      <c r="G35" s="54">
        <v>990</v>
      </c>
      <c r="H35" s="54">
        <v>1452</v>
      </c>
      <c r="I35" s="54">
        <v>1254</v>
      </c>
      <c r="J35" s="54">
        <v>1452</v>
      </c>
      <c r="K35" s="54">
        <v>1254</v>
      </c>
      <c r="L35" s="54">
        <v>1188</v>
      </c>
      <c r="M35" s="54">
        <v>792</v>
      </c>
      <c r="N35" s="54">
        <v>1320</v>
      </c>
      <c r="P35" s="62">
        <f>SUM(C35:N35)</f>
        <v>14982</v>
      </c>
    </row>
    <row r="36" spans="2:16" x14ac:dyDescent="0.45">
      <c r="B36" s="63" t="s">
        <v>38</v>
      </c>
      <c r="C36" s="54">
        <v>592.03</v>
      </c>
      <c r="D36" s="54">
        <v>568.6</v>
      </c>
      <c r="E36" s="54">
        <v>592.03</v>
      </c>
      <c r="F36" s="54">
        <v>544.31200000000001</v>
      </c>
      <c r="G36" s="54">
        <v>470.26</v>
      </c>
      <c r="H36" s="54">
        <v>643.048</v>
      </c>
      <c r="I36" s="54">
        <v>568.99599999999998</v>
      </c>
      <c r="J36" s="54">
        <v>643.048</v>
      </c>
      <c r="K36" s="54">
        <v>568.99599999999998</v>
      </c>
      <c r="L36" s="54">
        <v>544.31200000000001</v>
      </c>
      <c r="M36" s="54">
        <v>396.20800000000003</v>
      </c>
      <c r="N36" s="54">
        <v>593.67999999999995</v>
      </c>
      <c r="P36" s="62">
        <f>SUM(C36:N36)</f>
        <v>6725.5199999999995</v>
      </c>
    </row>
    <row r="37" spans="2:16" x14ac:dyDescent="0.45">
      <c r="P37"/>
    </row>
    <row r="38" spans="2:16" x14ac:dyDescent="0.45">
      <c r="P38"/>
    </row>
    <row r="39" spans="2:16" x14ac:dyDescent="0.45">
      <c r="P39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84AD6-2AEE-4F78-8DCF-B38C494255C2}">
  <dimension ref="B1:P36"/>
  <sheetViews>
    <sheetView tabSelected="1" topLeftCell="B3" workbookViewId="0">
      <selection activeCell="P12" sqref="P12:P1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72" t="s">
        <v>9</v>
      </c>
    </row>
    <row r="2" spans="2:16" x14ac:dyDescent="0.45">
      <c r="B2" s="7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/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57</v>
      </c>
    </row>
    <row r="7" spans="2:16" x14ac:dyDescent="0.45">
      <c r="B7" s="9" t="s">
        <v>21</v>
      </c>
      <c r="C7" s="37">
        <v>21</v>
      </c>
      <c r="D7" s="37">
        <v>21</v>
      </c>
      <c r="E7" s="37">
        <v>11</v>
      </c>
      <c r="F7" s="37"/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53</v>
      </c>
    </row>
    <row r="8" spans="2:16" x14ac:dyDescent="0.45">
      <c r="B8" s="18" t="s">
        <v>22</v>
      </c>
      <c r="C8" s="64">
        <f t="shared" ref="C8:N8" si="0">C7-C6</f>
        <v>2</v>
      </c>
      <c r="D8" s="64">
        <f t="shared" si="0"/>
        <v>2</v>
      </c>
      <c r="E8" s="64">
        <f t="shared" si="0"/>
        <v>-8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-4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21</v>
      </c>
      <c r="D11" s="11">
        <v>21</v>
      </c>
      <c r="E11" s="11">
        <v>11</v>
      </c>
      <c r="F11" s="11"/>
      <c r="G11" s="11"/>
      <c r="H11" s="11"/>
      <c r="I11" s="11"/>
      <c r="J11" s="11"/>
      <c r="K11" s="11"/>
      <c r="L11" s="11"/>
      <c r="M11" s="11"/>
      <c r="N11" s="11"/>
      <c r="P11" s="59">
        <f>SUM(C11:N11)</f>
        <v>53</v>
      </c>
    </row>
    <row r="12" spans="2:16" x14ac:dyDescent="0.45">
      <c r="B12" s="9" t="s">
        <v>16</v>
      </c>
      <c r="C12" s="12">
        <v>1</v>
      </c>
      <c r="D12" s="12"/>
      <c r="E12" s="12">
        <v>0</v>
      </c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1</v>
      </c>
    </row>
    <row r="13" spans="2:16" x14ac:dyDescent="0.45">
      <c r="B13" s="9" t="s">
        <v>51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3</v>
      </c>
    </row>
    <row r="14" spans="2:16" x14ac:dyDescent="0.45">
      <c r="B14" s="9" t="s">
        <v>50</v>
      </c>
      <c r="C14" s="12"/>
      <c r="D14" s="12"/>
      <c r="E14" s="12">
        <v>7</v>
      </c>
      <c r="F14" s="12"/>
      <c r="G14" s="12"/>
      <c r="H14" s="12"/>
      <c r="I14" s="12"/>
      <c r="J14" s="12"/>
      <c r="K14" s="12"/>
      <c r="L14" s="12"/>
      <c r="M14" s="12"/>
      <c r="N14" s="12"/>
      <c r="P14" s="59">
        <f>SUM(C14:N14)</f>
        <v>7</v>
      </c>
    </row>
    <row r="15" spans="2:16" x14ac:dyDescent="0.45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9">
        <f>SUM(C15:N15)</f>
        <v>0</v>
      </c>
    </row>
    <row r="16" spans="2:16" x14ac:dyDescent="0.45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9">
        <f>SUM(C16:N16)</f>
        <v>0</v>
      </c>
    </row>
    <row r="17" spans="2:16" x14ac:dyDescent="0.45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45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45">
      <c r="B19" s="9" t="s">
        <v>6</v>
      </c>
      <c r="C19" s="10">
        <f>C11*Params!$C$7*(1-Params!$C$3)-Params!$C$4</f>
        <v>12483</v>
      </c>
      <c r="D19" s="10">
        <f>D11*Params!$C$7*(1-Params!$C$3)-Params!$C$4</f>
        <v>12483</v>
      </c>
      <c r="E19" s="10">
        <f>E11*Params!$C$7*(1-Params!$C$3)-Params!$C$4</f>
        <v>6503</v>
      </c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31469</v>
      </c>
    </row>
    <row r="20" spans="2:16" x14ac:dyDescent="0.45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45">
      <c r="B21" s="27" t="s">
        <v>2</v>
      </c>
      <c r="C21" s="28">
        <f t="shared" ref="C21:L21" si="1">SUM(C19:C20)</f>
        <v>12483</v>
      </c>
      <c r="D21" s="28">
        <f t="shared" si="1"/>
        <v>12483</v>
      </c>
      <c r="E21" s="28">
        <f t="shared" si="1"/>
        <v>6503</v>
      </c>
      <c r="F21" s="28">
        <f t="shared" si="1"/>
        <v>0</v>
      </c>
      <c r="G21" s="28">
        <f t="shared" si="1"/>
        <v>0</v>
      </c>
      <c r="H21" s="28">
        <f t="shared" si="1"/>
        <v>0</v>
      </c>
      <c r="I21" s="28">
        <f t="shared" si="1"/>
        <v>0</v>
      </c>
      <c r="J21" s="28">
        <f t="shared" si="1"/>
        <v>0</v>
      </c>
      <c r="K21" s="28">
        <f t="shared" si="1"/>
        <v>0</v>
      </c>
      <c r="L21" s="28">
        <f t="shared" si="1"/>
        <v>0</v>
      </c>
      <c r="M21" s="28"/>
      <c r="N21" s="28"/>
      <c r="O21" s="5"/>
      <c r="P21" s="42">
        <f>SUM(C21:O21)</f>
        <v>31469</v>
      </c>
    </row>
    <row r="22" spans="2:16" x14ac:dyDescent="0.45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45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45">
      <c r="B24" s="9" t="s">
        <v>7</v>
      </c>
      <c r="C24" s="10">
        <v>5966.71</v>
      </c>
      <c r="D24" s="10">
        <v>5966.71</v>
      </c>
      <c r="E24" s="10">
        <v>4088.44</v>
      </c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 t="shared" ref="P24:P29" si="2">SUM(C24:N24)</f>
        <v>16021.86</v>
      </c>
    </row>
    <row r="25" spans="2:16" x14ac:dyDescent="0.45">
      <c r="B25" s="9" t="s">
        <v>8</v>
      </c>
      <c r="C25" s="10">
        <f>1358.07+2547.16</f>
        <v>3905.2299999999996</v>
      </c>
      <c r="D25" s="10">
        <f>1358.07+2547.98</f>
        <v>3906.05</v>
      </c>
      <c r="E25" s="10">
        <f>945.75+1766.29</f>
        <v>2712.04</v>
      </c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 t="shared" si="2"/>
        <v>10523.32</v>
      </c>
    </row>
    <row r="26" spans="2:16" x14ac:dyDescent="0.45">
      <c r="B26" s="55" t="s">
        <v>40</v>
      </c>
      <c r="C26" s="10">
        <v>643.048</v>
      </c>
      <c r="D26" s="10">
        <v>618.36400000000003</v>
      </c>
      <c r="E26" s="10">
        <v>371.524</v>
      </c>
      <c r="F26" s="10"/>
      <c r="G26" s="10"/>
      <c r="H26" s="10"/>
      <c r="I26" s="10"/>
      <c r="J26" s="10"/>
      <c r="K26" s="10"/>
      <c r="L26" s="10"/>
      <c r="M26" s="10"/>
      <c r="N26" s="10"/>
      <c r="O26" s="4"/>
      <c r="P26" s="43">
        <f t="shared" si="2"/>
        <v>1632.9360000000001</v>
      </c>
    </row>
    <row r="27" spans="2:16" s="10" customFormat="1" x14ac:dyDescent="0.45">
      <c r="B27" s="10" t="s">
        <v>49</v>
      </c>
      <c r="C27" s="10">
        <f>41.62+35.8</f>
        <v>77.419999999999987</v>
      </c>
      <c r="P27" s="43">
        <f t="shared" si="2"/>
        <v>77.419999999999987</v>
      </c>
    </row>
    <row r="28" spans="2:16" x14ac:dyDescent="0.45">
      <c r="B28" s="55" t="s">
        <v>41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71"/>
      <c r="N28" s="56"/>
      <c r="O28" s="4"/>
      <c r="P28" s="43">
        <f t="shared" si="2"/>
        <v>0</v>
      </c>
    </row>
    <row r="29" spans="2:16" x14ac:dyDescent="0.45">
      <c r="B29" s="8" t="s">
        <v>3</v>
      </c>
      <c r="C29" s="44">
        <f t="shared" ref="C29:L29" si="3">SUM(C24:C28)</f>
        <v>10592.407999999999</v>
      </c>
      <c r="D29" s="44">
        <f t="shared" si="3"/>
        <v>10491.124</v>
      </c>
      <c r="E29" s="44">
        <f t="shared" si="3"/>
        <v>7172.0039999999999</v>
      </c>
      <c r="F29" s="44">
        <f t="shared" si="3"/>
        <v>0</v>
      </c>
      <c r="G29" s="44">
        <f t="shared" si="3"/>
        <v>0</v>
      </c>
      <c r="H29" s="44">
        <f t="shared" si="3"/>
        <v>0</v>
      </c>
      <c r="I29" s="44">
        <f t="shared" si="3"/>
        <v>0</v>
      </c>
      <c r="J29" s="44">
        <f t="shared" si="3"/>
        <v>0</v>
      </c>
      <c r="K29" s="44">
        <f t="shared" si="3"/>
        <v>0</v>
      </c>
      <c r="L29" s="44">
        <f t="shared" si="3"/>
        <v>0</v>
      </c>
      <c r="M29" s="44"/>
      <c r="N29" s="44"/>
      <c r="O29" s="4"/>
      <c r="P29" s="61">
        <f t="shared" si="2"/>
        <v>28255.536</v>
      </c>
    </row>
    <row r="30" spans="2:16" x14ac:dyDescent="0.45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45">
      <c r="B31" s="66" t="s">
        <v>42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70"/>
      <c r="P31" s="68">
        <f>SUM(C31:N31)</f>
        <v>0</v>
      </c>
    </row>
    <row r="32" spans="2:16" x14ac:dyDescent="0.45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45">
      <c r="B33" s="46" t="s">
        <v>36</v>
      </c>
      <c r="C33" s="47">
        <f t="shared" ref="C33:N33" si="4">C21-C29</f>
        <v>1890.5920000000006</v>
      </c>
      <c r="D33" s="47">
        <f t="shared" si="4"/>
        <v>1991.8760000000002</v>
      </c>
      <c r="E33" s="47">
        <f t="shared" si="4"/>
        <v>-669.00399999999991</v>
      </c>
      <c r="F33" s="47">
        <f t="shared" si="4"/>
        <v>0</v>
      </c>
      <c r="G33" s="47">
        <f t="shared" si="4"/>
        <v>0</v>
      </c>
      <c r="H33" s="47">
        <f t="shared" si="4"/>
        <v>0</v>
      </c>
      <c r="I33" s="47">
        <f t="shared" si="4"/>
        <v>0</v>
      </c>
      <c r="J33" s="47">
        <f t="shared" si="4"/>
        <v>0</v>
      </c>
      <c r="K33" s="47">
        <f t="shared" si="4"/>
        <v>0</v>
      </c>
      <c r="L33" s="47">
        <f t="shared" si="4"/>
        <v>0</v>
      </c>
      <c r="M33" s="47">
        <f t="shared" si="4"/>
        <v>0</v>
      </c>
      <c r="N33" s="47">
        <f t="shared" si="4"/>
        <v>0</v>
      </c>
      <c r="P33" s="60">
        <f>SUM(C33:O33)</f>
        <v>3213.4640000000009</v>
      </c>
    </row>
    <row r="35" spans="2:16" x14ac:dyDescent="0.45">
      <c r="B35" s="63" t="s">
        <v>37</v>
      </c>
      <c r="C35" s="54">
        <v>1452</v>
      </c>
      <c r="D35" s="54">
        <v>1386</v>
      </c>
      <c r="E35" s="54">
        <v>726</v>
      </c>
      <c r="F35" s="54"/>
      <c r="G35" s="54"/>
      <c r="H35" s="54"/>
      <c r="I35" s="54"/>
      <c r="J35" s="54"/>
      <c r="K35" s="54"/>
      <c r="L35" s="54"/>
      <c r="M35" s="54"/>
      <c r="N35" s="54"/>
      <c r="P35" s="62">
        <f>SUM(C35:N35)</f>
        <v>3564</v>
      </c>
    </row>
    <row r="36" spans="2:16" x14ac:dyDescent="0.45">
      <c r="B36" s="63" t="s">
        <v>38</v>
      </c>
      <c r="C36" s="54">
        <v>643.048</v>
      </c>
      <c r="D36" s="54">
        <v>618.36400000000003</v>
      </c>
      <c r="E36" s="54">
        <v>371.524</v>
      </c>
      <c r="F36" s="54"/>
      <c r="G36" s="54"/>
      <c r="H36" s="54"/>
      <c r="I36" s="54"/>
      <c r="J36" s="54"/>
      <c r="K36" s="54"/>
      <c r="L36" s="54"/>
      <c r="M36" s="54"/>
      <c r="N36" s="54"/>
      <c r="P36" s="62">
        <f>SUM(C36:N36)</f>
        <v>1632.9360000000001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7"/>
  <sheetViews>
    <sheetView workbookViewId="0">
      <selection activeCell="C7" sqref="C7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74" t="s">
        <v>23</v>
      </c>
      <c r="C2" s="75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44</v>
      </c>
      <c r="C5" s="33">
        <v>570</v>
      </c>
    </row>
    <row r="6" spans="2:3" ht="25.9" customHeight="1" x14ac:dyDescent="0.45">
      <c r="B6" s="33" t="s">
        <v>45</v>
      </c>
      <c r="C6" s="33">
        <v>600</v>
      </c>
    </row>
    <row r="7" spans="2:3" ht="25.9" customHeight="1" x14ac:dyDescent="0.45">
      <c r="B7" s="33" t="s">
        <v>46</v>
      </c>
      <c r="C7" s="33">
        <v>650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4" sqref="C4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6" t="s">
        <v>33</v>
      </c>
      <c r="C2" s="76"/>
    </row>
    <row r="3" spans="2:3" ht="16.899999999999999" customHeight="1" x14ac:dyDescent="0.45">
      <c r="B3" s="38" t="s">
        <v>34</v>
      </c>
      <c r="C3" s="39">
        <f>SUM('2022'!P30,'2023'!P33,'2024'!P33)</f>
        <v>-9406.1860000000015</v>
      </c>
    </row>
    <row r="4" spans="2:3" ht="16.899999999999999" customHeight="1" x14ac:dyDescent="0.45">
      <c r="B4" s="38" t="s">
        <v>39</v>
      </c>
      <c r="C4" s="40">
        <f>'2022'!P12+'2023'!P12+'2024'!P12</f>
        <v>26.5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'2022'!FRAIS_KM</vt:lpstr>
      <vt:lpstr>'2023'!FRAIS_KM</vt:lpstr>
      <vt:lpstr>'2024'!FRAIS_KM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'2022'!NOMBRE_KM</vt:lpstr>
      <vt:lpstr>'2023'!NOMBRE_KM</vt:lpstr>
      <vt:lpstr>'2024'!NOMBRE_KM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'2022'!SORTIES_FRAIS_KM</vt:lpstr>
      <vt:lpstr>'2023'!SORTIES_FRAIS_KM</vt:lpstr>
      <vt:lpstr>'2024'!SORTIES_FRAIS_KM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2024-04-04T02:55:28Z</dcterms:modified>
</cp:coreProperties>
</file>