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017DC8C7-1392-431E-AF8F-20F0304A604A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'2023'!$B$15</definedName>
    <definedName name="CRA_ASTREINTE" localSheetId="1">'2024'!$B$15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'2023'!$B$17</definedName>
    <definedName name="ENTREES" localSheetId="1">'2024'!$B$17</definedName>
    <definedName name="ENTREES">#REF!</definedName>
    <definedName name="ENTREES_ASTREINTE" localSheetId="0">'2023'!$B$19</definedName>
    <definedName name="ENTREES_ASTREINTE" localSheetId="1">'2024'!$B$19</definedName>
    <definedName name="ENTREES_ASTREINTE">#REF!</definedName>
    <definedName name="ENTREES_FACTURE" localSheetId="0">'2023'!$B$18</definedName>
    <definedName name="ENTREES_FACTURE" localSheetId="1">'2024'!$B$18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'2023'!$B$32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'2023'!$B$31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'2023'!$B$29</definedName>
    <definedName name="SOLDE" localSheetId="1">'2024'!$B$29</definedName>
    <definedName name="SORTIES" localSheetId="0">'2023'!$B$22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'2023'!$B$24</definedName>
    <definedName name="SORTIES_CHARGES_SOCIALES_PATRONALES" localSheetId="1">'2024'!$B$24</definedName>
    <definedName name="SORTIES_CHARGES_SOCIALES_PATRONALES">#REF!</definedName>
    <definedName name="SORTIES_FRAIS_KM" localSheetId="0">'2023'!$B$25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'2023'!$B$23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'2023'!$B$20</definedName>
    <definedName name="TOTAL_ENTREES" localSheetId="1">'2024'!$B$20</definedName>
    <definedName name="TOTAL_ENTREES">#REF!</definedName>
    <definedName name="TOTAL_SORTIES" localSheetId="0">'2023'!$B$27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32" i="15" l="1"/>
  <c r="P31" i="15"/>
  <c r="L29" i="15"/>
  <c r="G29" i="15"/>
  <c r="N27" i="15"/>
  <c r="M27" i="15"/>
  <c r="L27" i="15"/>
  <c r="K27" i="15"/>
  <c r="J27" i="15"/>
  <c r="I27" i="15"/>
  <c r="H27" i="15"/>
  <c r="G27" i="15"/>
  <c r="F27" i="15"/>
  <c r="D27" i="15"/>
  <c r="P26" i="15"/>
  <c r="P25" i="15"/>
  <c r="E24" i="15"/>
  <c r="E27" i="15" s="1"/>
  <c r="D24" i="15"/>
  <c r="C24" i="15"/>
  <c r="P24" i="15" s="1"/>
  <c r="P23" i="15"/>
  <c r="N20" i="15"/>
  <c r="N29" i="15" s="1"/>
  <c r="M20" i="15"/>
  <c r="M29" i="15" s="1"/>
  <c r="L20" i="15"/>
  <c r="K20" i="15"/>
  <c r="K29" i="15" s="1"/>
  <c r="J20" i="15"/>
  <c r="J29" i="15" s="1"/>
  <c r="I20" i="15"/>
  <c r="I29" i="15" s="1"/>
  <c r="H20" i="15"/>
  <c r="H29" i="15" s="1"/>
  <c r="G20" i="15"/>
  <c r="F20" i="15"/>
  <c r="F29" i="15" s="1"/>
  <c r="E20" i="15"/>
  <c r="E29" i="15" s="1"/>
  <c r="P19" i="15"/>
  <c r="E18" i="15"/>
  <c r="D18" i="15"/>
  <c r="D20" i="15" s="1"/>
  <c r="D29" i="15" s="1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32" i="14"/>
  <c r="P31" i="14"/>
  <c r="N27" i="14"/>
  <c r="M27" i="14"/>
  <c r="K27" i="14"/>
  <c r="F27" i="14"/>
  <c r="E27" i="14"/>
  <c r="C27" i="14"/>
  <c r="P26" i="14"/>
  <c r="P25" i="14"/>
  <c r="N24" i="14"/>
  <c r="M24" i="14"/>
  <c r="L24" i="14"/>
  <c r="L27" i="14" s="1"/>
  <c r="K24" i="14"/>
  <c r="J24" i="14"/>
  <c r="J27" i="14" s="1"/>
  <c r="I24" i="14"/>
  <c r="I27" i="14" s="1"/>
  <c r="H24" i="14"/>
  <c r="H27" i="14" s="1"/>
  <c r="G24" i="14"/>
  <c r="G27" i="14" s="1"/>
  <c r="F24" i="14"/>
  <c r="E24" i="14"/>
  <c r="D24" i="14"/>
  <c r="D27" i="14" s="1"/>
  <c r="C24" i="14"/>
  <c r="P24" i="14" s="1"/>
  <c r="P23" i="14"/>
  <c r="J20" i="14"/>
  <c r="J29" i="14" s="1"/>
  <c r="H20" i="14"/>
  <c r="H29" i="14" s="1"/>
  <c r="G20" i="14"/>
  <c r="G29" i="14" s="1"/>
  <c r="P19" i="14"/>
  <c r="N18" i="14"/>
  <c r="N20" i="14" s="1"/>
  <c r="N29" i="14" s="1"/>
  <c r="M18" i="14"/>
  <c r="M20" i="14" s="1"/>
  <c r="M29" i="14" s="1"/>
  <c r="L18" i="14"/>
  <c r="L20" i="14" s="1"/>
  <c r="L29" i="14" s="1"/>
  <c r="K18" i="14"/>
  <c r="K20" i="14" s="1"/>
  <c r="K29" i="14" s="1"/>
  <c r="J18" i="14"/>
  <c r="I18" i="14"/>
  <c r="I20" i="14" s="1"/>
  <c r="H18" i="14"/>
  <c r="G18" i="14"/>
  <c r="F18" i="14"/>
  <c r="F20" i="14" s="1"/>
  <c r="F29" i="14" s="1"/>
  <c r="E18" i="14"/>
  <c r="E20" i="14" s="1"/>
  <c r="E29" i="14" s="1"/>
  <c r="D18" i="14"/>
  <c r="D20" i="14" s="1"/>
  <c r="D29" i="14" s="1"/>
  <c r="C18" i="14"/>
  <c r="C20" i="14" s="1"/>
  <c r="P15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I29" i="14" l="1"/>
  <c r="P27" i="14"/>
  <c r="C29" i="14"/>
  <c r="P29" i="14" s="1"/>
  <c r="P20" i="14"/>
  <c r="P20" i="15"/>
  <c r="P18" i="14"/>
  <c r="C27" i="15"/>
  <c r="P27" i="15" s="1"/>
  <c r="P18" i="15"/>
  <c r="C29" i="15" l="1"/>
  <c r="P29" i="15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-15 CP Solde Netpower Consulting </t>
        </r>
      </text>
    </comment>
  </commentList>
</comments>
</file>

<file path=xl/sharedStrings.xml><?xml version="1.0" encoding="utf-8"?>
<sst xmlns="http://schemas.openxmlformats.org/spreadsheetml/2006/main" count="87" uniqueCount="46">
  <si>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</si>
  <si>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</si>
  <si>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</si>
  <si>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</si>
  <si>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</si>
  <si>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</si>
  <si>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</si>
  <si>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</si>
  <si>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</si>
  <si>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</si>
  <si>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</si>
  <si>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</si>
  <si>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</si>
  <si>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</si>
  <si>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</si>
  <si>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</si>
  <si>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</si>
  <si>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</si>
  <si>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</si>
  <si>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</si>
  <si>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</si>
  <si>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</si>
  <si>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</si>
  <si>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</si>
  <si>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</si>
  <si>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</si>
  <si>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</si>
  <si>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</si>
  <si>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</si>
  <si>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</si>
  <si>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</si>
  <si>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</si>
  <si>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</si>
  <si>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</si>
  <si>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</si>
  <si>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</si>
  <si>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</si>
  <si>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</si>
  <si>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</si>
  <si>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</si>
  <si>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</si>
  <si>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</si>
  <si>
    <t>Moins 15CP Solde Netpower Consulting</t>
  </si>
  <si>
    <t xml:space="preserve"> </t>
  </si>
  <si>
    <t>Achat HT</t>
  </si>
  <si>
    <t>Exception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</si>
</sst>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2" fillId="12" borderId="0" xfId="0" applyFont="1" applyFill="1"/>
    <xf numFmtId="0" fontId="0" fillId="12" borderId="0" xfId="0" applyFill="1"/>
    <xf numFmtId="0" fontId="0" fillId="0" borderId="12" xfId="0" applyBorder="1" applyProtection="1">
      <protection locked="0"/>
    </xf>
    <xf numFmtId="0" fontId="0" fillId="0" borderId="12" xfId="0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9"/>
  <sheetViews>
    <sheetView workbookViewId="0">
      <selection activeCell="P29" sqref="P2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9" t="s">
        <v>9</v>
      </c>
    </row>
    <row r="2" spans="2:16" x14ac:dyDescent="0.4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3</v>
      </c>
      <c r="O6" s="36"/>
      <c r="P6" s="58">
        <f>SUM(C6:N6)</f>
        <v>212</v>
      </c>
    </row>
    <row r="7" spans="2:16" x14ac:dyDescent="0.45">
      <c r="B7" s="9" t="s">
        <v>21</v>
      </c>
      <c r="C7" s="37">
        <v>22</v>
      </c>
      <c r="D7" s="37">
        <v>20</v>
      </c>
      <c r="E7" s="37">
        <v>20.5</v>
      </c>
      <c r="F7" s="37">
        <v>18</v>
      </c>
      <c r="G7" s="37">
        <v>12</v>
      </c>
      <c r="H7" s="37">
        <v>8</v>
      </c>
      <c r="I7" s="37">
        <v>19</v>
      </c>
      <c r="J7" s="37">
        <v>21</v>
      </c>
      <c r="K7" s="37">
        <v>21</v>
      </c>
      <c r="L7" s="37">
        <v>19</v>
      </c>
      <c r="M7" s="37">
        <v>11</v>
      </c>
      <c r="N7" s="37">
        <v>20</v>
      </c>
      <c r="O7" s="36"/>
      <c r="P7" s="58">
        <f>SUM(C7:N7)</f>
        <v>211.5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1.5</v>
      </c>
      <c r="F8" s="64">
        <f t="shared" si="0"/>
        <v>-1</v>
      </c>
      <c r="G8" s="64">
        <f t="shared" si="0"/>
        <v>-7</v>
      </c>
      <c r="H8" s="64">
        <f t="shared" si="0"/>
        <v>-11</v>
      </c>
      <c r="I8" s="64">
        <f t="shared" si="0"/>
        <v>0</v>
      </c>
      <c r="J8" s="64">
        <f t="shared" si="0"/>
        <v>2</v>
      </c>
      <c r="K8" s="64">
        <f t="shared" si="0"/>
        <v>2</v>
      </c>
      <c r="L8" s="64">
        <f t="shared" si="0"/>
        <v>0</v>
      </c>
      <c r="M8" s="64">
        <f t="shared" si="0"/>
        <v>-8</v>
      </c>
      <c r="N8" s="64">
        <f t="shared" si="0"/>
        <v>17</v>
      </c>
      <c r="O8" s="36"/>
      <c r="P8" s="58">
        <f>SUM(C8:N8)</f>
        <v>-0.5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21.5</v>
      </c>
      <c r="D11" s="11">
        <v>20</v>
      </c>
      <c r="E11" s="11">
        <v>20.5</v>
      </c>
      <c r="F11" s="11">
        <v>18</v>
      </c>
      <c r="G11" s="11">
        <v>11.5</v>
      </c>
      <c r="H11" s="11">
        <v>7.5</v>
      </c>
      <c r="I11" s="11">
        <v>19</v>
      </c>
      <c r="J11" s="11">
        <v>21</v>
      </c>
      <c r="K11" s="11">
        <v>21</v>
      </c>
      <c r="L11" s="11">
        <v>19</v>
      </c>
      <c r="M11" s="11">
        <v>11</v>
      </c>
      <c r="N11" s="11">
        <v>20</v>
      </c>
      <c r="P11" s="59">
        <f>SUM(C11:N11)</f>
        <v>210</v>
      </c>
    </row>
    <row r="12" spans="2:16" x14ac:dyDescent="0.45">
      <c r="B12" s="9" t="s">
        <v>16</v>
      </c>
      <c r="C12" s="12">
        <v>0.5</v>
      </c>
      <c r="D12" s="12"/>
      <c r="E12" s="12">
        <v>2.5</v>
      </c>
      <c r="F12" s="12">
        <v>1</v>
      </c>
      <c r="G12" s="12">
        <v>7.5</v>
      </c>
      <c r="H12" s="12">
        <v>14.5</v>
      </c>
      <c r="I12" s="12">
        <v>1</v>
      </c>
      <c r="J12" s="12">
        <v>0</v>
      </c>
      <c r="K12" s="12"/>
      <c r="L12" s="12">
        <v>0</v>
      </c>
      <c r="M12" s="12">
        <v>0</v>
      </c>
      <c r="N12" s="12"/>
      <c r="P12" s="59">
        <f>SUM(C12:N12)</f>
        <v>27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1</v>
      </c>
      <c r="K13" s="12"/>
      <c r="L13" s="12">
        <v>3</v>
      </c>
      <c r="M13" s="12">
        <v>8</v>
      </c>
      <c r="N13" s="12"/>
      <c r="P13" s="59">
        <f>SUM(C13:N13)</f>
        <v>12</v>
      </c>
    </row>
    <row r="14" spans="2:16" x14ac:dyDescent="0.45">
      <c r="B14" s="67" t="s">
        <v>45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>
        <v>2</v>
      </c>
      <c r="N14" s="68"/>
      <c r="P14" s="59">
        <f>SUM(C14:N14)</f>
        <v>2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10210.6</v>
      </c>
      <c r="D18" s="10">
        <f>D11*Params!$C$5*(1-Params!$C$3)-Params!$C$4</f>
        <v>9493</v>
      </c>
      <c r="E18" s="10">
        <f>E11*Params!$C$5*(1-Params!$C$3)-Params!$C$4</f>
        <v>9732.2000000000007</v>
      </c>
      <c r="F18" s="10">
        <f>F11*Params!$C$5*(1-Params!$C$3)-Params!$C$4</f>
        <v>8536.2000000000007</v>
      </c>
      <c r="G18" s="10">
        <f>G11*Params!$C$5*(1-Params!$C$3)-Params!$C$4</f>
        <v>5426.6</v>
      </c>
      <c r="H18" s="10">
        <f>H11*Params!$C$5*(1-Params!$C$3)-Params!$C$4</f>
        <v>3513</v>
      </c>
      <c r="I18" s="10">
        <f>I11*Params!$C$5*(1-Params!$C$3)-Params!$C$4</f>
        <v>9014.6</v>
      </c>
      <c r="J18" s="10">
        <f>J11*Params!$C$5*(1-Params!$C$3)-Params!$C$4</f>
        <v>9971.4</v>
      </c>
      <c r="K18" s="10">
        <f>K11*Params!$C$5*(1-Params!$C$3)-Params!$C$4</f>
        <v>9971.4</v>
      </c>
      <c r="L18" s="10">
        <f>L11*Params!$C$5*(1-Params!$C$3)-Params!$C$4</f>
        <v>9014.6</v>
      </c>
      <c r="M18" s="10">
        <f>M11*Params!$C$5*(1-Params!$C$3)-Params!$C$4</f>
        <v>5187.4000000000005</v>
      </c>
      <c r="N18" s="10">
        <f>N11*Params!$C$5*(1-Params!$C$3)-Params!$C$4</f>
        <v>9493</v>
      </c>
      <c r="O18" s="4"/>
      <c r="P18" s="41">
        <f>SUM(C18:N18)</f>
        <v>99563.999999999985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SUM(C18:C19)</f>
        <v>10210.6</v>
      </c>
      <c r="D20" s="28">
        <f t="shared" si="1"/>
        <v>9493</v>
      </c>
      <c r="E20" s="28">
        <f t="shared" si="1"/>
        <v>9732.2000000000007</v>
      </c>
      <c r="F20" s="28">
        <f t="shared" si="1"/>
        <v>8536.2000000000007</v>
      </c>
      <c r="G20" s="28">
        <f t="shared" si="1"/>
        <v>5426.6</v>
      </c>
      <c r="H20" s="28">
        <f t="shared" si="1"/>
        <v>3513</v>
      </c>
      <c r="I20" s="28">
        <f t="shared" si="1"/>
        <v>9014.6</v>
      </c>
      <c r="J20" s="28">
        <f t="shared" si="1"/>
        <v>9971.4</v>
      </c>
      <c r="K20" s="28">
        <f t="shared" si="1"/>
        <v>9971.4</v>
      </c>
      <c r="L20" s="28">
        <f t="shared" si="1"/>
        <v>9014.6</v>
      </c>
      <c r="M20" s="28">
        <f t="shared" si="1"/>
        <v>5187.4000000000005</v>
      </c>
      <c r="N20" s="28">
        <f t="shared" si="1"/>
        <v>9493</v>
      </c>
      <c r="O20" s="5"/>
      <c r="P20" s="42">
        <f>SUM(C20:N20)</f>
        <v>99563.999999999985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5332.37</v>
      </c>
      <c r="D23" s="10">
        <v>5332.37</v>
      </c>
      <c r="E23" s="10">
        <v>5332.37</v>
      </c>
      <c r="F23" s="10">
        <v>5332.37</v>
      </c>
      <c r="G23" s="10">
        <v>5332.37</v>
      </c>
      <c r="H23" s="10">
        <v>5332.37</v>
      </c>
      <c r="I23" s="10">
        <v>5332.37</v>
      </c>
      <c r="J23" s="10">
        <v>5092.96</v>
      </c>
      <c r="K23" s="10">
        <v>5332.37</v>
      </c>
      <c r="L23" s="10">
        <v>4616.45</v>
      </c>
      <c r="M23" s="10">
        <v>3028.45</v>
      </c>
      <c r="N23" s="10">
        <v>5162.21</v>
      </c>
      <c r="O23" s="4"/>
      <c r="P23" s="43">
        <f>SUM(C23:N23)</f>
        <v>60559.029999999992</v>
      </c>
    </row>
    <row r="24" spans="2:16" x14ac:dyDescent="0.45">
      <c r="B24" s="9" t="s">
        <v>8</v>
      </c>
      <c r="C24" s="10">
        <f>1101.19+2187.37</f>
        <v>3288.56</v>
      </c>
      <c r="D24" s="10">
        <f>1101.19+2188.69</f>
        <v>3289.88</v>
      </c>
      <c r="E24" s="10">
        <f>1101.19+2187.37</f>
        <v>3288.56</v>
      </c>
      <c r="F24" s="10">
        <f>1101.19+2193.94</f>
        <v>3295.13</v>
      </c>
      <c r="G24" s="10">
        <f>1101.19+638.66</f>
        <v>1739.85</v>
      </c>
      <c r="H24" s="10">
        <f>1101.19+1886.77</f>
        <v>2987.96</v>
      </c>
      <c r="I24" s="10">
        <f>1101.19+1905.16</f>
        <v>3006.3500000000004</v>
      </c>
      <c r="J24" s="10">
        <f>1053.82+1788.43</f>
        <v>2842.25</v>
      </c>
      <c r="K24" s="10">
        <f>1101.19+1867.03</f>
        <v>2968.2200000000003</v>
      </c>
      <c r="L24" s="10">
        <f>956.79+1622.28</f>
        <v>2579.0699999999997</v>
      </c>
      <c r="M24" s="10">
        <f>641.63+1082.85</f>
        <v>1724.48</v>
      </c>
      <c r="N24" s="10">
        <f>1081.27+1811.84</f>
        <v>2893.1099999999997</v>
      </c>
      <c r="O24" s="4"/>
      <c r="P24" s="43">
        <f>SUM(C24:N24)</f>
        <v>33903.42</v>
      </c>
    </row>
    <row r="25" spans="2:16" x14ac:dyDescent="0.45">
      <c r="B25" s="9" t="s">
        <v>40</v>
      </c>
      <c r="C25" s="10">
        <v>398.2</v>
      </c>
      <c r="D25" s="10">
        <v>384</v>
      </c>
      <c r="E25" s="10">
        <v>384</v>
      </c>
      <c r="F25" s="10">
        <v>384.24</v>
      </c>
      <c r="G25" s="10">
        <v>294.48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4"/>
      <c r="P25" s="43">
        <f>SUM(C25:N25)</f>
        <v>1844.92</v>
      </c>
    </row>
    <row r="26" spans="2:16" x14ac:dyDescent="0.45">
      <c r="B26" s="55" t="s">
        <v>44</v>
      </c>
      <c r="C26" s="56"/>
      <c r="D26" s="56"/>
      <c r="E26" s="56"/>
      <c r="F26" s="56"/>
      <c r="G26" s="56"/>
      <c r="H26" s="56"/>
      <c r="I26" s="56"/>
      <c r="J26" s="56"/>
      <c r="K26" s="56"/>
      <c r="L26" s="56">
        <v>99.98</v>
      </c>
      <c r="M26" s="56"/>
      <c r="N26" s="56"/>
      <c r="O26" s="4"/>
      <c r="P26" s="43">
        <f>SUM(C26:N26)</f>
        <v>99.98</v>
      </c>
    </row>
    <row r="27" spans="2:16" x14ac:dyDescent="0.45">
      <c r="B27" s="8" t="s">
        <v>3</v>
      </c>
      <c r="C27" s="44">
        <f t="shared" ref="C27:N27" si="2">SUM(C23:C26)</f>
        <v>9019.130000000001</v>
      </c>
      <c r="D27" s="44">
        <f t="shared" si="2"/>
        <v>9006.25</v>
      </c>
      <c r="E27" s="44">
        <f t="shared" si="2"/>
        <v>9004.93</v>
      </c>
      <c r="F27" s="44">
        <f t="shared" si="2"/>
        <v>9011.74</v>
      </c>
      <c r="G27" s="44">
        <f t="shared" si="2"/>
        <v>7366.6999999999989</v>
      </c>
      <c r="H27" s="44">
        <f t="shared" si="2"/>
        <v>8320.33</v>
      </c>
      <c r="I27" s="44">
        <f t="shared" si="2"/>
        <v>8338.7200000000012</v>
      </c>
      <c r="J27" s="44">
        <f t="shared" si="2"/>
        <v>7935.21</v>
      </c>
      <c r="K27" s="44">
        <f t="shared" si="2"/>
        <v>8300.59</v>
      </c>
      <c r="L27" s="44">
        <f t="shared" si="2"/>
        <v>7295.4999999999991</v>
      </c>
      <c r="M27" s="44">
        <f t="shared" si="2"/>
        <v>4752.93</v>
      </c>
      <c r="N27" s="44">
        <f t="shared" si="2"/>
        <v>8055.32</v>
      </c>
      <c r="O27" s="4"/>
      <c r="P27" s="61">
        <f>SUM(C27:N27)</f>
        <v>96407.35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C20-C27</f>
        <v>1191.4699999999993</v>
      </c>
      <c r="D29" s="47">
        <f t="shared" si="3"/>
        <v>486.75</v>
      </c>
      <c r="E29" s="47">
        <f t="shared" si="3"/>
        <v>727.27000000000044</v>
      </c>
      <c r="F29" s="47">
        <f t="shared" si="3"/>
        <v>-475.53999999999905</v>
      </c>
      <c r="G29" s="47">
        <f t="shared" si="3"/>
        <v>-1940.0999999999985</v>
      </c>
      <c r="H29" s="47">
        <f t="shared" si="3"/>
        <v>-4807.33</v>
      </c>
      <c r="I29" s="47">
        <f t="shared" si="3"/>
        <v>675.8799999999992</v>
      </c>
      <c r="J29" s="47">
        <f t="shared" si="3"/>
        <v>2036.1899999999996</v>
      </c>
      <c r="K29" s="47">
        <f t="shared" si="3"/>
        <v>1670.8099999999995</v>
      </c>
      <c r="L29" s="47">
        <f t="shared" si="3"/>
        <v>1719.1000000000013</v>
      </c>
      <c r="M29" s="47">
        <f t="shared" si="3"/>
        <v>434.47000000000025</v>
      </c>
      <c r="N29" s="47">
        <f t="shared" si="3"/>
        <v>1437.6800000000003</v>
      </c>
      <c r="P29" s="60">
        <f>SUM(C29:N29)</f>
        <v>3156.6500000000024</v>
      </c>
    </row>
    <row r="31" spans="2:16" x14ac:dyDescent="0.45">
      <c r="B31" s="63" t="s">
        <v>37</v>
      </c>
      <c r="C31" s="54">
        <v>840</v>
      </c>
      <c r="D31" s="54">
        <v>800</v>
      </c>
      <c r="E31" s="54">
        <v>800</v>
      </c>
      <c r="F31" s="54">
        <v>760</v>
      </c>
      <c r="G31" s="54">
        <v>520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P31" s="62">
        <f>SUM(C31:N31)</f>
        <v>3720</v>
      </c>
    </row>
    <row r="32" spans="2:16" x14ac:dyDescent="0.45">
      <c r="B32" s="63" t="s">
        <v>38</v>
      </c>
      <c r="C32" s="54">
        <v>398.2</v>
      </c>
      <c r="D32" s="54">
        <v>384</v>
      </c>
      <c r="E32" s="54">
        <v>384</v>
      </c>
      <c r="F32" s="54">
        <v>384.24</v>
      </c>
      <c r="G32" s="54">
        <v>294.48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P32" s="62">
        <f>SUM(C32:N32)</f>
        <v>1844.92</v>
      </c>
    </row>
    <row r="37" spans="2:3" x14ac:dyDescent="0.45">
      <c r="B37" t="s">
        <v>43</v>
      </c>
    </row>
    <row r="39" spans="2:3" x14ac:dyDescent="0.45">
      <c r="B39" s="65" t="s">
        <v>42</v>
      </c>
      <c r="C39" s="66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4836-8F01-4517-ACDB-802948CBA852}">
  <dimension ref="B1:P39"/>
  <sheetViews>
    <sheetView tabSelected="1" workbookViewId="0">
      <selection activeCell="E20" sqref="E20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9" t="s">
        <v>9</v>
      </c>
    </row>
    <row r="2" spans="2:16" x14ac:dyDescent="0.4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57</v>
      </c>
    </row>
    <row r="7" spans="2:16" x14ac:dyDescent="0.45">
      <c r="B7" s="9" t="s">
        <v>21</v>
      </c>
      <c r="C7" s="37">
        <v>20</v>
      </c>
      <c r="D7" s="37">
        <v>12</v>
      </c>
      <c r="E7" s="37">
        <v>19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51</v>
      </c>
    </row>
    <row r="8" spans="2:16" x14ac:dyDescent="0.45">
      <c r="B8" s="18" t="s">
        <v>22</v>
      </c>
      <c r="C8" s="64">
        <f t="shared" ref="C8:N8" si="0">C7-C6</f>
        <v>1</v>
      </c>
      <c r="D8" s="64">
        <f t="shared" si="0"/>
        <v>-7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-6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20.5</v>
      </c>
      <c r="D11" s="11">
        <v>12</v>
      </c>
      <c r="E11" s="11">
        <v>19</v>
      </c>
      <c r="F11" s="11"/>
      <c r="G11" s="11"/>
      <c r="H11" s="11"/>
      <c r="I11" s="11"/>
      <c r="J11" s="11"/>
      <c r="K11" s="11"/>
      <c r="L11" s="11"/>
      <c r="M11" s="11"/>
      <c r="N11" s="11"/>
      <c r="P11" s="59">
        <f>SUM(C11:N11)</f>
        <v>51.5</v>
      </c>
    </row>
    <row r="12" spans="2:16" x14ac:dyDescent="0.45">
      <c r="B12" s="9" t="s">
        <v>16</v>
      </c>
      <c r="C12" s="12">
        <v>1.5</v>
      </c>
      <c r="D12" s="12">
        <v>9</v>
      </c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10.5</v>
      </c>
    </row>
    <row r="13" spans="2:16" x14ac:dyDescent="0.45">
      <c r="B13" s="9" t="s">
        <v>17</v>
      </c>
      <c r="C13" s="12"/>
      <c r="D13" s="12"/>
      <c r="E13" s="12">
        <v>2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2</v>
      </c>
    </row>
    <row r="14" spans="2:16" x14ac:dyDescent="0.45">
      <c r="B14" s="67" t="s">
        <v>45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P14" s="59">
        <f>SUM(C14:N14)</f>
        <v>0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9732.2000000000007</v>
      </c>
      <c r="D18" s="10">
        <f>D11*Params!$C$5*(1-Params!$C$3)-Params!$C$4</f>
        <v>5665.8</v>
      </c>
      <c r="E18" s="10">
        <f>E11*Params!$C$5*(1-Params!$C$3)-Params!$C$4</f>
        <v>9014.6</v>
      </c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24412.6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SUM(C18:C19)</f>
        <v>9732.2000000000007</v>
      </c>
      <c r="D20" s="28">
        <f t="shared" si="1"/>
        <v>5665.8</v>
      </c>
      <c r="E20" s="28">
        <f t="shared" si="1"/>
        <v>9014.6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24412.6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5323.49</v>
      </c>
      <c r="D23" s="10">
        <v>5323.49</v>
      </c>
      <c r="E23" s="10">
        <v>4844.7700000000004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15491.75</v>
      </c>
    </row>
    <row r="24" spans="2:16" x14ac:dyDescent="0.45">
      <c r="B24" s="9" t="s">
        <v>8</v>
      </c>
      <c r="C24" s="10">
        <f>1114.63+1883.75</f>
        <v>2998.38</v>
      </c>
      <c r="D24" s="10">
        <f>1114.63+1887.71</f>
        <v>3002.34</v>
      </c>
      <c r="E24" s="10">
        <f>1019.8+1744.53</f>
        <v>2764.33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8765.0499999999993</v>
      </c>
    </row>
    <row r="25" spans="2:16" x14ac:dyDescent="0.45">
      <c r="B25" s="9" t="s">
        <v>40</v>
      </c>
      <c r="C25" s="10">
        <v>0</v>
      </c>
      <c r="D25" s="10">
        <v>0</v>
      </c>
      <c r="E25" s="10"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0</v>
      </c>
    </row>
    <row r="26" spans="2:16" x14ac:dyDescent="0.45">
      <c r="B26" s="55" t="s">
        <v>44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4"/>
      <c r="P26" s="43">
        <f>SUM(C26:N26)</f>
        <v>0</v>
      </c>
    </row>
    <row r="27" spans="2:16" x14ac:dyDescent="0.45">
      <c r="B27" s="8" t="s">
        <v>3</v>
      </c>
      <c r="C27" s="44">
        <f t="shared" ref="C27:N27" si="2">SUM(C23:C26)</f>
        <v>8321.869999999999</v>
      </c>
      <c r="D27" s="44">
        <f t="shared" si="2"/>
        <v>8325.83</v>
      </c>
      <c r="E27" s="44">
        <f t="shared" si="2"/>
        <v>7609.1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1">
        <f>SUM(C27:N27)</f>
        <v>24256.799999999996</v>
      </c>
    </row>
    <row r="28" spans="2:16" x14ac:dyDescent="0.4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5">
      <c r="B29" s="46" t="s">
        <v>36</v>
      </c>
      <c r="C29" s="47">
        <f t="shared" ref="C29:N29" si="3">C20-C27</f>
        <v>1410.3300000000017</v>
      </c>
      <c r="D29" s="47">
        <f t="shared" si="3"/>
        <v>-2660.0299999999997</v>
      </c>
      <c r="E29" s="47">
        <f t="shared" si="3"/>
        <v>1405.5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60">
        <f>SUM(C29:N29)</f>
        <v>155.800000000002</v>
      </c>
    </row>
    <row r="31" spans="2:16" x14ac:dyDescent="0.45">
      <c r="B31" s="63" t="s">
        <v>37</v>
      </c>
      <c r="C31" s="54">
        <v>0</v>
      </c>
      <c r="D31" s="54">
        <v>0</v>
      </c>
      <c r="E31" s="54">
        <v>0</v>
      </c>
      <c r="F31" s="54"/>
      <c r="G31" s="54"/>
      <c r="H31" s="54"/>
      <c r="I31" s="54"/>
      <c r="J31" s="54"/>
      <c r="K31" s="54"/>
      <c r="L31" s="54"/>
      <c r="M31" s="54"/>
      <c r="N31" s="54"/>
      <c r="P31" s="62">
        <f>SUM(C31:N31)</f>
        <v>0</v>
      </c>
    </row>
    <row r="32" spans="2:16" x14ac:dyDescent="0.45">
      <c r="B32" s="63" t="s">
        <v>38</v>
      </c>
      <c r="C32" s="54">
        <v>0</v>
      </c>
      <c r="D32" s="54">
        <v>0</v>
      </c>
      <c r="E32" s="54">
        <v>0</v>
      </c>
      <c r="F32" s="54"/>
      <c r="G32" s="54"/>
      <c r="H32" s="54"/>
      <c r="I32" s="54"/>
      <c r="J32" s="54"/>
      <c r="K32" s="54"/>
      <c r="L32" s="54"/>
      <c r="M32" s="54"/>
      <c r="N32" s="54"/>
      <c r="P32" s="62">
        <f>SUM(C32:N32)</f>
        <v>0</v>
      </c>
    </row>
    <row r="37" spans="2:3" x14ac:dyDescent="0.45">
      <c r="B37" t="s">
        <v>43</v>
      </c>
    </row>
    <row r="39" spans="2:3" x14ac:dyDescent="0.45">
      <c r="B39" s="65" t="s">
        <v>42</v>
      </c>
      <c r="C39" s="66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1" t="s">
        <v>23</v>
      </c>
      <c r="C2" s="72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3" t="s">
        <v>33</v>
      </c>
      <c r="C2" s="73"/>
    </row>
    <row r="3" spans="2:3" ht="16.899999999999999" customHeight="1" x14ac:dyDescent="0.45">
      <c r="B3" s="38" t="s">
        <v>34</v>
      </c>
      <c r="C3" s="39">
        <f>('2023'!P29)+'2024'!P29</f>
        <v>3312.4500000000044</v>
      </c>
    </row>
    <row r="4" spans="2:3" ht="16.899999999999999" customHeight="1" x14ac:dyDescent="0.45">
      <c r="B4" s="38" t="s">
        <v>39</v>
      </c>
      <c r="C4" s="40">
        <f>'2023'!P12+15+'2024'!P12</f>
        <v>52.5</v>
      </c>
    </row>
  </sheetData>
  <mergeCells count="1">
    <mergeCell ref="B2:C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2024-04-04T02:51:25Z</dcterms:modified>
</cp:coreProperties>
</file>