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EA297CE2-14BE-4D4C-927F-6CA595E7B3FB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6" i="15" l="1"/>
  <c r="F26" i="15"/>
  <c r="G26" i="15"/>
  <c r="H26" i="15"/>
  <c r="I26" i="15"/>
  <c r="J26" i="15"/>
  <c r="K26" i="15"/>
  <c r="L26" i="15"/>
  <c r="M26" i="15"/>
  <c r="N26" i="15"/>
  <c r="C26" i="15"/>
  <c r="D26" i="15"/>
  <c r="P31" i="15"/>
  <c r="P30" i="15"/>
  <c r="P25" i="15"/>
  <c r="P24" i="15"/>
  <c r="D23" i="15"/>
  <c r="P23" i="15" s="1"/>
  <c r="C23" i="15"/>
  <c r="P22" i="15"/>
  <c r="N19" i="15"/>
  <c r="M19" i="15"/>
  <c r="M28" i="15" s="1"/>
  <c r="L19" i="15"/>
  <c r="K19" i="15"/>
  <c r="K28" i="15" s="1"/>
  <c r="J19" i="15"/>
  <c r="J28" i="15" s="1"/>
  <c r="I19" i="15"/>
  <c r="I28" i="15" s="1"/>
  <c r="H19" i="15"/>
  <c r="H28" i="15" s="1"/>
  <c r="G19" i="15"/>
  <c r="G28" i="15" s="1"/>
  <c r="F19" i="15"/>
  <c r="E19" i="15"/>
  <c r="E28" i="15" s="1"/>
  <c r="D19" i="15"/>
  <c r="P18" i="15"/>
  <c r="D17" i="15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2" i="14"/>
  <c r="P33" i="14" s="1"/>
  <c r="P30" i="14"/>
  <c r="P29" i="14"/>
  <c r="L25" i="14"/>
  <c r="J25" i="14"/>
  <c r="I25" i="14"/>
  <c r="H25" i="14"/>
  <c r="P24" i="14"/>
  <c r="P23" i="14"/>
  <c r="N23" i="14"/>
  <c r="N25" i="14" s="1"/>
  <c r="M23" i="14"/>
  <c r="M25" i="14" s="1"/>
  <c r="K23" i="14"/>
  <c r="K25" i="14" s="1"/>
  <c r="J23" i="14"/>
  <c r="I23" i="14"/>
  <c r="H23" i="14"/>
  <c r="G23" i="14"/>
  <c r="G25" i="14" s="1"/>
  <c r="F23" i="14"/>
  <c r="F25" i="14" s="1"/>
  <c r="E23" i="14"/>
  <c r="E25" i="14" s="1"/>
  <c r="D23" i="14"/>
  <c r="D25" i="14" s="1"/>
  <c r="C23" i="14"/>
  <c r="C25" i="14" s="1"/>
  <c r="P22" i="14"/>
  <c r="M19" i="14"/>
  <c r="M27" i="14" s="1"/>
  <c r="L19" i="14"/>
  <c r="L27" i="14" s="1"/>
  <c r="K19" i="14"/>
  <c r="K27" i="14" s="1"/>
  <c r="E19" i="14"/>
  <c r="E27" i="14" s="1"/>
  <c r="D19" i="14"/>
  <c r="D27" i="14" s="1"/>
  <c r="C19" i="14"/>
  <c r="C27" i="14" s="1"/>
  <c r="P18" i="14"/>
  <c r="N17" i="14"/>
  <c r="N19" i="14" s="1"/>
  <c r="N27" i="14" s="1"/>
  <c r="M17" i="14"/>
  <c r="K17" i="14"/>
  <c r="J17" i="14"/>
  <c r="J19" i="14" s="1"/>
  <c r="J27" i="14" s="1"/>
  <c r="I17" i="14"/>
  <c r="I19" i="14" s="1"/>
  <c r="I27" i="14" s="1"/>
  <c r="H17" i="14"/>
  <c r="H19" i="14" s="1"/>
  <c r="H27" i="14" s="1"/>
  <c r="G17" i="14"/>
  <c r="G19" i="14" s="1"/>
  <c r="G27" i="14" s="1"/>
  <c r="F17" i="14"/>
  <c r="F19" i="14" s="1"/>
  <c r="E17" i="14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L28" i="15" l="1"/>
  <c r="F28" i="15"/>
  <c r="N28" i="15"/>
  <c r="F27" i="14"/>
  <c r="P25" i="14"/>
  <c r="P27" i="14"/>
  <c r="P26" i="15"/>
  <c r="C28" i="15"/>
  <c r="P19" i="15"/>
  <c r="P19" i="14"/>
  <c r="D28" i="15"/>
  <c r="P17" i="15"/>
  <c r="P28" i="15" l="1"/>
  <c r="C3" i="13" s="1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<sst xmlns="http://schemas.openxmlformats.org/spreadsheetml/2006/main" count="83" uniqueCount="46">
  <si>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</si>
  <si>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</si>
  <si>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</si>
  <si>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</si>
  <si>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</si>
  <si>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</si>
  <si>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</si>
  <si>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</si>
  <si>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</si>
  <si>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</si>
  <si>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</si>
  <si>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</si>
  <si>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</si>
  <si>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</si>
  <si>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</si>
  <si>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</si>
  <si>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</si>
  <si>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</si>
  <si>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</si>
  <si>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</si>
  <si>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</si>
  <si>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</si>
  <si>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</si>
  <si>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</si>
  <si>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</si>
  <si>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</si>
  <si>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</si>
  <si>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</si>
  <si>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</si>
  <si>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</si>
  <si>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</si>
  <si>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</si>
  <si>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</si>
  <si>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</si>
  <si>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</si>
  <si>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</si>
  <si>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</si>
  <si>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</si>
  <si>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</si>
  <si>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</si>
  <si>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</si>
  <si>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</si>
  <si>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(Novembre 2023)</t>
  </si>
  <si>
    <t>Frais KM annuel à payer</t>
  </si>
  <si>
    <t>Régularisation Frais KM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</si>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</sst>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zoomScaleNormal="100" workbookViewId="0">
      <selection activeCell="M29" sqref="M29"/>
    </sheetView>
  </sheetViews>
  <sheetFormatPr baseColWidth="10" defaultRowHeight="14.25" x14ac:dyDescent="0.45"/>
  <cols>
    <col min="1" max="1" width="3" customWidth="1"/>
    <col min="2" max="2" width="28" customWidth="1"/>
    <col min="14" max="14" width="19.597656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0</v>
      </c>
      <c r="K6" s="37">
        <v>0</v>
      </c>
      <c r="L6" s="37"/>
      <c r="M6" s="37">
        <v>19</v>
      </c>
      <c r="N6" s="37">
        <v>19</v>
      </c>
      <c r="O6" s="36"/>
      <c r="P6" s="58">
        <f>SUM(C6:N6)</f>
        <v>171</v>
      </c>
    </row>
    <row r="7" spans="2:16" x14ac:dyDescent="0.45">
      <c r="B7" s="9" t="s">
        <v>21</v>
      </c>
      <c r="C7" s="37">
        <v>21</v>
      </c>
      <c r="D7" s="37">
        <v>14</v>
      </c>
      <c r="E7" s="37">
        <v>22</v>
      </c>
      <c r="F7" s="37">
        <v>15</v>
      </c>
      <c r="G7" s="37">
        <v>18</v>
      </c>
      <c r="H7" s="37">
        <v>21</v>
      </c>
      <c r="I7" s="37">
        <v>9</v>
      </c>
      <c r="J7" s="37">
        <v>12</v>
      </c>
      <c r="K7" s="37">
        <v>0</v>
      </c>
      <c r="L7" s="37"/>
      <c r="M7" s="37">
        <v>19</v>
      </c>
      <c r="N7" s="37">
        <v>19</v>
      </c>
      <c r="O7" s="36"/>
      <c r="P7" s="58">
        <f>SUM(C7:N7)</f>
        <v>170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-5</v>
      </c>
      <c r="E8" s="64">
        <f t="shared" si="0"/>
        <v>3</v>
      </c>
      <c r="F8" s="64">
        <f t="shared" si="0"/>
        <v>-4</v>
      </c>
      <c r="G8" s="64">
        <f t="shared" si="0"/>
        <v>-1</v>
      </c>
      <c r="H8" s="64">
        <f t="shared" si="0"/>
        <v>2</v>
      </c>
      <c r="I8" s="64">
        <f t="shared" si="0"/>
        <v>-10</v>
      </c>
      <c r="J8" s="64">
        <f t="shared" si="0"/>
        <v>12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14</v>
      </c>
      <c r="E11" s="11">
        <v>22</v>
      </c>
      <c r="F11" s="11">
        <v>15</v>
      </c>
      <c r="G11" s="11">
        <v>18</v>
      </c>
      <c r="H11" s="11">
        <v>21</v>
      </c>
      <c r="I11" s="11">
        <v>9</v>
      </c>
      <c r="J11" s="11">
        <v>12</v>
      </c>
      <c r="K11" s="11">
        <v>5</v>
      </c>
      <c r="L11" s="11"/>
      <c r="M11" s="11">
        <v>19</v>
      </c>
      <c r="N11" s="11">
        <v>19</v>
      </c>
      <c r="P11" s="59">
        <f>SUM(C11:N11)</f>
        <v>175</v>
      </c>
    </row>
    <row r="12" spans="2:16" x14ac:dyDescent="0.45">
      <c r="B12" s="9" t="s">
        <v>16</v>
      </c>
      <c r="C12" s="12">
        <v>1</v>
      </c>
      <c r="D12" s="12">
        <v>6</v>
      </c>
      <c r="E12" s="12">
        <v>1</v>
      </c>
      <c r="F12" s="12">
        <v>4</v>
      </c>
      <c r="G12" s="12">
        <v>1</v>
      </c>
      <c r="H12" s="12">
        <v>1</v>
      </c>
      <c r="I12" s="12">
        <v>11</v>
      </c>
      <c r="J12" s="12">
        <v>0</v>
      </c>
      <c r="K12" s="12"/>
      <c r="L12" s="12"/>
      <c r="M12" s="12"/>
      <c r="N12" s="12">
        <v>1</v>
      </c>
      <c r="P12" s="59">
        <f>SUM(C12:N12)</f>
        <v>26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10</v>
      </c>
      <c r="K13" s="12"/>
      <c r="L13" s="12"/>
      <c r="M13" s="12"/>
      <c r="N13" s="12"/>
      <c r="P13" s="59">
        <f>SUM(C13:N13)</f>
        <v>10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8232.6</v>
      </c>
      <c r="D17" s="10">
        <f>D11*Params!$C$5*(1-Params!$C$3)-Params!$C$4</f>
        <v>5463.4000000000005</v>
      </c>
      <c r="E17" s="10">
        <f>E11*Params!$C$5*(1-Params!$C$3)-Params!$C$4</f>
        <v>8628.2000000000007</v>
      </c>
      <c r="F17" s="10">
        <f>F11*Params!$C$5*(1-Params!$C$3)-Params!$C$4</f>
        <v>5859</v>
      </c>
      <c r="G17" s="10">
        <f>G11*Params!$C$5*(1-Params!$C$3)-Params!$C$4</f>
        <v>7045.8</v>
      </c>
      <c r="H17" s="10">
        <f>H11*Params!$C$5*(1-Params!$C$3)-Params!$C$4</f>
        <v>8232.6</v>
      </c>
      <c r="I17" s="10">
        <f>I11*Params!$C$5*(1-Params!$C$3)-Params!$C$4</f>
        <v>3485.4</v>
      </c>
      <c r="J17" s="10">
        <f>J11*Params!$C$5*(1-Params!$C$3)-Params!$C$4</f>
        <v>4672.2</v>
      </c>
      <c r="K17" s="10">
        <f>K11*Params!$C$5*(1-Params!$C$3)-Params!$C$4</f>
        <v>1903</v>
      </c>
      <c r="L17" s="10"/>
      <c r="M17" s="10">
        <f>M11*Params!$C$6*(1-Params!$C$3)-Params!$C$4</f>
        <v>9189.4</v>
      </c>
      <c r="N17" s="10">
        <f>N11*Params!$C$6*(1-Params!$C$3)-Params!$C$4</f>
        <v>9189.4</v>
      </c>
      <c r="O17" s="4"/>
      <c r="P17" s="41">
        <f>SUM(C17:N17)</f>
        <v>71901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8232.6</v>
      </c>
      <c r="D19" s="28">
        <f t="shared" si="1"/>
        <v>5463.4000000000005</v>
      </c>
      <c r="E19" s="28">
        <f t="shared" si="1"/>
        <v>8628.2000000000007</v>
      </c>
      <c r="F19" s="28">
        <f t="shared" si="1"/>
        <v>5859</v>
      </c>
      <c r="G19" s="28">
        <f t="shared" si="1"/>
        <v>7045.8</v>
      </c>
      <c r="H19" s="28">
        <f t="shared" si="1"/>
        <v>8232.6</v>
      </c>
      <c r="I19" s="28">
        <f t="shared" si="1"/>
        <v>3485.4</v>
      </c>
      <c r="J19" s="28">
        <f t="shared" si="1"/>
        <v>4672.2</v>
      </c>
      <c r="K19" s="28">
        <f t="shared" si="1"/>
        <v>1903</v>
      </c>
      <c r="L19" s="28">
        <f t="shared" si="1"/>
        <v>0</v>
      </c>
      <c r="M19" s="28">
        <f t="shared" si="1"/>
        <v>9189.4</v>
      </c>
      <c r="N19" s="28">
        <f t="shared" si="1"/>
        <v>9189.4</v>
      </c>
      <c r="O19" s="5"/>
      <c r="P19" s="42">
        <f>SUM(C19:N19)</f>
        <v>71901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4520.1400000000003</v>
      </c>
      <c r="D22" s="10">
        <v>4520.1400000000003</v>
      </c>
      <c r="E22" s="10">
        <v>4520.1400000000003</v>
      </c>
      <c r="F22" s="10">
        <v>4520.1400000000003</v>
      </c>
      <c r="G22" s="10">
        <v>4520.1400000000003</v>
      </c>
      <c r="H22" s="10">
        <v>4520.1400000000003</v>
      </c>
      <c r="I22" s="10">
        <v>4520.1400000000003</v>
      </c>
      <c r="J22" s="10">
        <v>115.15</v>
      </c>
      <c r="K22" s="10">
        <v>739.12</v>
      </c>
      <c r="L22" s="10"/>
      <c r="M22" s="10">
        <v>4748.21</v>
      </c>
      <c r="N22" s="10">
        <v>5385.74</v>
      </c>
      <c r="O22" s="4"/>
      <c r="P22" s="43">
        <f>SUM(C22:N22)</f>
        <v>42629.2</v>
      </c>
    </row>
    <row r="23" spans="2:16" x14ac:dyDescent="0.45">
      <c r="B23" s="9" t="s">
        <v>8</v>
      </c>
      <c r="C23" s="10">
        <f>944.94+1584.57</f>
        <v>2529.5100000000002</v>
      </c>
      <c r="D23" s="10">
        <f>944.94+1587.21</f>
        <v>2532.15</v>
      </c>
      <c r="E23" s="10">
        <f>944.94+1600.35</f>
        <v>2545.29</v>
      </c>
      <c r="F23" s="10">
        <f>944.94+1587.21</f>
        <v>2532.15</v>
      </c>
      <c r="G23" s="10">
        <f>944.94+1597.38</f>
        <v>2542.3200000000002</v>
      </c>
      <c r="H23" s="10">
        <f>944.94+1588.35</f>
        <v>2533.29</v>
      </c>
      <c r="I23" s="10">
        <f>944.94+1588.35</f>
        <v>2533.29</v>
      </c>
      <c r="J23" s="10">
        <f>73.36+120.33</f>
        <v>193.69</v>
      </c>
      <c r="K23" s="10">
        <f>82.02+106.38</f>
        <v>188.39999999999998</v>
      </c>
      <c r="L23" s="10"/>
      <c r="M23" s="10">
        <f>981.95+1666.87</f>
        <v>2648.8199999999997</v>
      </c>
      <c r="N23" s="10">
        <f>1111.34+1885.51</f>
        <v>2996.85</v>
      </c>
      <c r="O23" s="4"/>
      <c r="P23" s="43">
        <f>SUM(C23:N23)</f>
        <v>23775.759999999998</v>
      </c>
    </row>
    <row r="24" spans="2:16" x14ac:dyDescent="0.45">
      <c r="B24" s="55" t="s">
        <v>40</v>
      </c>
      <c r="C24" s="56">
        <v>457.84</v>
      </c>
      <c r="D24" s="56">
        <v>338.56</v>
      </c>
      <c r="E24" s="56">
        <v>474.88</v>
      </c>
      <c r="F24" s="56">
        <v>369.28</v>
      </c>
      <c r="G24" s="56">
        <v>423.13600000000002</v>
      </c>
      <c r="H24" s="56">
        <v>476.99200000000002</v>
      </c>
      <c r="I24" s="56">
        <v>261.56799999999998</v>
      </c>
      <c r="J24" s="56">
        <v>0</v>
      </c>
      <c r="K24" s="56">
        <v>97.95</v>
      </c>
      <c r="L24" s="56"/>
      <c r="M24" s="56">
        <v>483.72399999999999</v>
      </c>
      <c r="N24" s="56">
        <v>880.86400000000003</v>
      </c>
      <c r="O24" s="4"/>
      <c r="P24" s="43">
        <f>SUM(C24:N24)</f>
        <v>4264.7939999999999</v>
      </c>
    </row>
    <row r="25" spans="2:16" x14ac:dyDescent="0.45">
      <c r="B25" s="8" t="s">
        <v>3</v>
      </c>
      <c r="C25" s="44">
        <f t="shared" ref="C25:N25" si="2">SUM(C22:C24)</f>
        <v>7507.4900000000007</v>
      </c>
      <c r="D25" s="44">
        <f t="shared" si="2"/>
        <v>7390.8500000000013</v>
      </c>
      <c r="E25" s="44">
        <f t="shared" si="2"/>
        <v>7540.31</v>
      </c>
      <c r="F25" s="44">
        <f t="shared" si="2"/>
        <v>7421.5700000000006</v>
      </c>
      <c r="G25" s="44">
        <f t="shared" si="2"/>
        <v>7485.5960000000014</v>
      </c>
      <c r="H25" s="44">
        <f t="shared" si="2"/>
        <v>7530.4220000000005</v>
      </c>
      <c r="I25" s="44">
        <f t="shared" si="2"/>
        <v>7314.9980000000005</v>
      </c>
      <c r="J25" s="44">
        <f t="shared" si="2"/>
        <v>308.84000000000003</v>
      </c>
      <c r="K25" s="44">
        <f t="shared" si="2"/>
        <v>1025.47</v>
      </c>
      <c r="L25" s="44">
        <f t="shared" si="2"/>
        <v>0</v>
      </c>
      <c r="M25" s="44">
        <f t="shared" si="2"/>
        <v>7880.7539999999999</v>
      </c>
      <c r="N25" s="44">
        <f t="shared" si="2"/>
        <v>9263.4539999999997</v>
      </c>
      <c r="O25" s="4"/>
      <c r="P25" s="61">
        <f>SUM(C25:N25)</f>
        <v>70669.754000000001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725.10999999999967</v>
      </c>
      <c r="D27" s="47">
        <f t="shared" si="3"/>
        <v>-1927.4500000000007</v>
      </c>
      <c r="E27" s="47">
        <f t="shared" si="3"/>
        <v>1087.8900000000003</v>
      </c>
      <c r="F27" s="47">
        <f t="shared" si="3"/>
        <v>-1562.5700000000006</v>
      </c>
      <c r="G27" s="47">
        <f t="shared" si="3"/>
        <v>-439.79600000000119</v>
      </c>
      <c r="H27" s="47">
        <f t="shared" si="3"/>
        <v>702.17799999999988</v>
      </c>
      <c r="I27" s="47">
        <f t="shared" si="3"/>
        <v>-3829.5980000000004</v>
      </c>
      <c r="J27" s="47">
        <f t="shared" si="3"/>
        <v>4363.3599999999997</v>
      </c>
      <c r="K27" s="47">
        <f t="shared" si="3"/>
        <v>877.53</v>
      </c>
      <c r="L27" s="47">
        <f t="shared" si="3"/>
        <v>0</v>
      </c>
      <c r="M27" s="47">
        <f t="shared" si="3"/>
        <v>1308.6459999999997</v>
      </c>
      <c r="N27" s="47">
        <f t="shared" si="3"/>
        <v>-74.054000000000087</v>
      </c>
      <c r="P27" s="60">
        <f>SUM(C27:N27)</f>
        <v>1231.2459999999967</v>
      </c>
    </row>
    <row r="29" spans="2:16" x14ac:dyDescent="0.45">
      <c r="B29" s="63" t="s">
        <v>37</v>
      </c>
      <c r="C29" s="54">
        <v>1008</v>
      </c>
      <c r="D29" s="54">
        <v>672</v>
      </c>
      <c r="E29" s="54">
        <v>1056</v>
      </c>
      <c r="F29" s="54">
        <v>720</v>
      </c>
      <c r="G29" s="54">
        <v>864</v>
      </c>
      <c r="H29" s="54">
        <v>1008</v>
      </c>
      <c r="I29" s="54">
        <v>432</v>
      </c>
      <c r="J29" s="54">
        <v>0</v>
      </c>
      <c r="K29" s="54">
        <v>48</v>
      </c>
      <c r="L29" s="54"/>
      <c r="M29" s="54">
        <v>1026</v>
      </c>
      <c r="N29" s="54">
        <v>1026</v>
      </c>
      <c r="P29" s="62">
        <f>SUM(C29:N29)</f>
        <v>7860</v>
      </c>
    </row>
    <row r="30" spans="2:16" x14ac:dyDescent="0.45">
      <c r="B30" s="63" t="s">
        <v>38</v>
      </c>
      <c r="C30" s="54">
        <v>457.84</v>
      </c>
      <c r="D30" s="54">
        <v>338.56</v>
      </c>
      <c r="E30" s="54">
        <v>474.88</v>
      </c>
      <c r="F30" s="54">
        <v>369.28</v>
      </c>
      <c r="G30" s="54">
        <v>423.13600000000002</v>
      </c>
      <c r="H30" s="54">
        <v>476.99200000000002</v>
      </c>
      <c r="I30" s="54">
        <v>261.56799999999998</v>
      </c>
      <c r="J30" s="54">
        <v>0</v>
      </c>
      <c r="K30" s="54">
        <v>97.95</v>
      </c>
      <c r="L30" s="54"/>
      <c r="M30" s="54">
        <v>483.72399999999999</v>
      </c>
      <c r="N30" s="54">
        <v>383.72</v>
      </c>
      <c r="P30" s="62">
        <f>SUM(C30:N30)</f>
        <v>3767.6500000000005</v>
      </c>
    </row>
    <row r="32" spans="2:16" x14ac:dyDescent="0.45">
      <c r="N32" s="54" t="s">
        <v>43</v>
      </c>
      <c r="P32" s="62">
        <f>(M29+N29)*0.665</f>
        <v>1364.5800000000002</v>
      </c>
    </row>
    <row r="33" spans="14:16" x14ac:dyDescent="0.45">
      <c r="N33" s="54" t="s">
        <v>44</v>
      </c>
      <c r="P33" s="62">
        <f>P32-(M30+N30)</f>
        <v>497.13600000000019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A3DC5-B560-4EC9-B7D8-738D7170EBA0}">
  <dimension ref="B1:P31"/>
  <sheetViews>
    <sheetView tabSelected="1" topLeftCell="A2" zoomScaleNormal="100" workbookViewId="0">
      <selection activeCell="D26" sqref="D26"/>
    </sheetView>
  </sheetViews>
  <sheetFormatPr baseColWidth="10" defaultRowHeight="14.25" x14ac:dyDescent="0.45"/>
  <cols>
    <col min="1" max="1" width="3" customWidth="1"/>
    <col min="2" max="2" width="28" customWidth="1"/>
    <col min="14" max="14" width="19.4648437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38</v>
      </c>
    </row>
    <row r="7" spans="2:16" x14ac:dyDescent="0.45">
      <c r="B7" s="9" t="s">
        <v>21</v>
      </c>
      <c r="C7" s="37">
        <v>22</v>
      </c>
      <c r="D7" s="37">
        <v>18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40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-1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18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40</v>
      </c>
    </row>
    <row r="12" spans="2:16" x14ac:dyDescent="0.45">
      <c r="B12" s="9" t="s">
        <v>16</v>
      </c>
      <c r="C12" s="12"/>
      <c r="D12" s="12">
        <v>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10652.2</v>
      </c>
      <c r="D17" s="10">
        <f>D11*Params!$C$6*(1-Params!$C$3)-Params!$C$4</f>
        <v>8701.8000000000011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19354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10652.2</v>
      </c>
      <c r="D19" s="28">
        <f t="shared" si="1"/>
        <v>8701.8000000000011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19354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5376.76</v>
      </c>
      <c r="D22" s="10">
        <v>5826.22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11202.98</v>
      </c>
    </row>
    <row r="23" spans="2:16" x14ac:dyDescent="0.45">
      <c r="B23" s="9" t="s">
        <v>8</v>
      </c>
      <c r="C23" s="10">
        <f>1124.88+1904.88</f>
        <v>3029.76</v>
      </c>
      <c r="D23" s="10">
        <f>1226.13+2754.76</f>
        <v>3980.8900000000003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7010.6500000000005</v>
      </c>
    </row>
    <row r="24" spans="2:16" x14ac:dyDescent="0.45">
      <c r="B24" s="55" t="s">
        <v>40</v>
      </c>
      <c r="C24" s="56">
        <v>544.31200000000001</v>
      </c>
      <c r="D24" s="56">
        <v>463.52800000000002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1007.84</v>
      </c>
    </row>
    <row r="25" spans="2:16" x14ac:dyDescent="0.45">
      <c r="B25" s="9" t="s">
        <v>45</v>
      </c>
      <c r="C25" s="10"/>
      <c r="D25" s="10">
        <v>1311.09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1311.09</v>
      </c>
    </row>
    <row r="26" spans="2:16" x14ac:dyDescent="0.45">
      <c r="B26" s="8" t="s">
        <v>3</v>
      </c>
      <c r="C26" s="44">
        <f>SUM(C22:C25)</f>
        <v>8950.8320000000003</v>
      </c>
      <c r="D26" s="44">
        <f>SUM(D22:D25)</f>
        <v>11581.728000000001</v>
      </c>
      <c r="E26" s="44">
        <f t="shared" ref="E26:N26" si="2">SUM(E22:E25)</f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20532.560000000001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1701.3680000000004</v>
      </c>
      <c r="D28" s="47">
        <f t="shared" si="3"/>
        <v>-2879.9279999999999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-1178.5599999999995</v>
      </c>
    </row>
    <row r="30" spans="2:16" x14ac:dyDescent="0.45">
      <c r="B30" s="63" t="s">
        <v>37</v>
      </c>
      <c r="C30" s="54">
        <v>1188</v>
      </c>
      <c r="D30" s="54">
        <v>972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2160</v>
      </c>
    </row>
    <row r="31" spans="2:16" x14ac:dyDescent="0.45">
      <c r="B31" s="63" t="s">
        <v>38</v>
      </c>
      <c r="C31" s="54">
        <v>544.31200000000001</v>
      </c>
      <c r="D31" s="54">
        <v>463.52800000000002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1007.84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13" sqref="B13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430</v>
      </c>
    </row>
    <row r="6" spans="2:3" ht="32.25" customHeight="1" x14ac:dyDescent="0.45">
      <c r="B6" s="33" t="s">
        <v>42</v>
      </c>
      <c r="C6" s="33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SUM('2023'!M27:N27)+('2024'!P28)</f>
        <v>56.032000000000153</v>
      </c>
    </row>
    <row r="4" spans="2:3" ht="16.899999999999999" customHeight="1" x14ac:dyDescent="0.45">
      <c r="B4" s="38" t="s">
        <v>39</v>
      </c>
      <c r="C4" s="40">
        <f>SUM('2023'!M12:N12)+('2024'!P12)</f>
        <v>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2024-03-04T19:37:41Z</dcterms:modified>
</cp:coreProperties>
</file>