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69AA600D-F179-4523-9CC1-E4709E4F00DE}" xr6:coauthVersionLast="47" xr6:coauthVersionMax="47" xr10:uidLastSave="{00000000-0000-0000-0000-000000000000}"/>
  <bookViews>
    <workbookView xWindow="-98" yWindow="-98" windowWidth="22695" windowHeight="14476" activeTab="4" xr2:uid="{00000000-000D-0000-FFFF-FFFF00000000}"/>
  </bookViews>
  <sheets>
    <sheet name="2022" sheetId="12" r:id="rId1"/>
    <sheet name="2023" sheetId="14" r:id="rId2"/>
    <sheet name="2024" sheetId="15" r:id="rId3"/>
    <sheet name="Params" sheetId="10" r:id="rId4"/>
    <sheet name="Synthése" sheetId="13" r:id="rId5"/>
  </sheets>
  <definedNames>
    <definedName name="AOUT" localSheetId="1">'2023'!$J$3</definedName>
    <definedName name="AOUT" localSheetId="2">'2024'!$J$3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1">'2023'!$F$3</definedName>
    <definedName name="AVRIL" localSheetId="2">'2024'!$F$3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'2023'!$B$15</definedName>
    <definedName name="CRA_ASTREINTE" localSheetId="2">'2024'!$B$15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'2023'!$B$14</definedName>
    <definedName name="CRA_SANS_SOLDE" localSheetId="2">'2024'!$B$14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'2023'!$B$17</definedName>
    <definedName name="ENTREES" localSheetId="2">'2024'!$B$17</definedName>
    <definedName name="ENTREES">#REF!</definedName>
    <definedName name="ENTREES_ASTREINTE" localSheetId="0">'2022'!$B$18</definedName>
    <definedName name="ENTREES_ASTREINTE" localSheetId="1">'2023'!$B$19</definedName>
    <definedName name="ENTREES_ASTREINTE" localSheetId="2">'2024'!$B$19</definedName>
    <definedName name="ENTREES_ASTREINTE">#REF!</definedName>
    <definedName name="ENTREES_FACTURE" localSheetId="0">'2022'!$B$17</definedName>
    <definedName name="ENTREES_FACTURE" localSheetId="1">'2023'!$B$18</definedName>
    <definedName name="ENTREES_FACTURE" localSheetId="2">'2024'!$B$18</definedName>
    <definedName name="ENTREES_FACTURE">#REF!</definedName>
    <definedName name="FEVRIER" localSheetId="1">'2023'!$D$3</definedName>
    <definedName name="FEVRIER" localSheetId="2">'2024'!$D$3</definedName>
    <definedName name="FEVRIER">'2022'!$D$3</definedName>
    <definedName name="FRAIS_KM" localSheetId="0">'2022'!#REF!</definedName>
    <definedName name="FRAIS_KM" localSheetId="1">'2023'!#REF!</definedName>
    <definedName name="FRAIS_KM" localSheetId="2">'2024'!#REF!</definedName>
    <definedName name="JANVIER" localSheetId="1">'2023'!$C$3</definedName>
    <definedName name="JANVIER" localSheetId="2">'2024'!$C$3</definedName>
    <definedName name="JANVIER">'2022'!$C$3</definedName>
    <definedName name="JUILLET" localSheetId="1">'2023'!$I$3</definedName>
    <definedName name="JUILLET" localSheetId="2">'2024'!$I$3</definedName>
    <definedName name="JUILLET">'2022'!$I$3</definedName>
    <definedName name="JUIN" localSheetId="1">'2023'!$H$3</definedName>
    <definedName name="JUIN" localSheetId="2">'2024'!$H$3</definedName>
    <definedName name="JUIN">'2022'!$H$3</definedName>
    <definedName name="MAI" localSheetId="1">'2023'!$G$3</definedName>
    <definedName name="MAI" localSheetId="2">'2024'!$G$3</definedName>
    <definedName name="MAI">'2022'!$G$3</definedName>
    <definedName name="MARS" localSheetId="1">'2023'!$E$3</definedName>
    <definedName name="MARS" localSheetId="2">'2024'!$E$3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 localSheetId="0">'2022'!#REF!</definedName>
    <definedName name="NOMBRE_KM" localSheetId="1">'2023'!#REF!</definedName>
    <definedName name="NOMBRE_KM" localSheetId="2">'2024'!#REF!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1">'2023'!$L$3</definedName>
    <definedName name="OCTOBRE" localSheetId="2">'2024'!$L$3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1">'2023'!$K$3</definedName>
    <definedName name="SEPTEMBRE" localSheetId="2">'2024'!$K$3</definedName>
    <definedName name="SEPTEMBRE">'2022'!$K$3</definedName>
    <definedName name="SOLDE" localSheetId="0">'2022'!$B$26</definedName>
    <definedName name="SOLDE" localSheetId="1">'2023'!$B$32</definedName>
    <definedName name="SOLDE" localSheetId="2">'2024'!$B$32</definedName>
    <definedName name="SORTIES" localSheetId="0">'2022'!$B$21</definedName>
    <definedName name="SORTIES" localSheetId="1">'2023'!$B$23</definedName>
    <definedName name="SORTIES" localSheetId="2">'2024'!$B$23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'2023'!$B$28</definedName>
    <definedName name="SORTIES_CHARGES_SOCIALES_PATRONALES" localSheetId="2">'2024'!$B$28</definedName>
    <definedName name="SORTIES_CHARGES_SOCIALES_PATRONALES">#REF!</definedName>
    <definedName name="SORTIES_FRAIS_KM" localSheetId="0">'2022'!#REF!</definedName>
    <definedName name="SORTIES_FRAIS_KM" localSheetId="1">'2023'!#REF!</definedName>
    <definedName name="SORTIES_FRAIS_KM" localSheetId="2">'2024'!#REF!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INTERESSEMENT_CSG_CRDS">'2023'!$B$26</definedName>
    <definedName name="SORTIES_INTERESSEMENT_NET">'2023'!$B$25</definedName>
    <definedName name="SORTIES_SALAIRE_NET" localSheetId="0">'2022'!$B$22</definedName>
    <definedName name="SORTIES_SALAIRE_NET" localSheetId="1">'2023'!$B$24</definedName>
    <definedName name="SORTIES_SALAIRE_NET" localSheetId="2">'2024'!$B$24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'2023'!$B$21</definedName>
    <definedName name="TOTAL_ENTREES" localSheetId="2">'2024'!$B$21</definedName>
    <definedName name="TOTAL_ENTREES">#REF!</definedName>
    <definedName name="TOTAL_SORTIES" localSheetId="0">'2022'!$B$24</definedName>
    <definedName name="TOTAL_SORTIES" localSheetId="1">'2023'!$B$30</definedName>
    <definedName name="TOTAL_SORTIES" localSheetId="2">'2024'!$B$30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D27" i="15" l="1"/>
  <c r="C27" i="15"/>
  <c r="D26" i="15"/>
  <c r="P26" i="15" s="1"/>
  <c r="C26" i="15"/>
  <c r="C25" i="15"/>
  <c r="D25" i="15"/>
  <c r="N25" i="14"/>
  <c r="M26" i="14"/>
  <c r="P26" i="14" s="1"/>
  <c r="M25" i="14"/>
  <c r="M27" i="14"/>
  <c r="K25" i="14"/>
  <c r="N32" i="15"/>
  <c r="H32" i="15"/>
  <c r="F32" i="15"/>
  <c r="N30" i="15"/>
  <c r="M30" i="15"/>
  <c r="M32" i="15" s="1"/>
  <c r="L30" i="15"/>
  <c r="K30" i="15"/>
  <c r="J30" i="15"/>
  <c r="I30" i="15"/>
  <c r="H30" i="15"/>
  <c r="G30" i="15"/>
  <c r="F30" i="15"/>
  <c r="E30" i="15"/>
  <c r="E32" i="15" s="1"/>
  <c r="P29" i="15"/>
  <c r="D28" i="15"/>
  <c r="D30" i="15" s="1"/>
  <c r="C28" i="15"/>
  <c r="P27" i="15"/>
  <c r="P25" i="15"/>
  <c r="P24" i="15"/>
  <c r="N21" i="15"/>
  <c r="M21" i="15"/>
  <c r="L21" i="15"/>
  <c r="L32" i="15" s="1"/>
  <c r="K21" i="15"/>
  <c r="K32" i="15" s="1"/>
  <c r="J21" i="15"/>
  <c r="J32" i="15" s="1"/>
  <c r="I21" i="15"/>
  <c r="I32" i="15" s="1"/>
  <c r="H21" i="15"/>
  <c r="G21" i="15"/>
  <c r="G32" i="15" s="1"/>
  <c r="F21" i="15"/>
  <c r="E21" i="15"/>
  <c r="P20" i="15"/>
  <c r="P19" i="15"/>
  <c r="D18" i="15"/>
  <c r="P18" i="15" s="1"/>
  <c r="C18" i="15"/>
  <c r="C21" i="15" s="1"/>
  <c r="P15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J30" i="14"/>
  <c r="G30" i="14"/>
  <c r="E30" i="14"/>
  <c r="P29" i="14"/>
  <c r="N28" i="14"/>
  <c r="M28" i="14"/>
  <c r="L28" i="14"/>
  <c r="K28" i="14"/>
  <c r="J28" i="14"/>
  <c r="I28" i="14"/>
  <c r="H28" i="14"/>
  <c r="H30" i="14" s="1"/>
  <c r="H32" i="14" s="1"/>
  <c r="G28" i="14"/>
  <c r="F28" i="14"/>
  <c r="F30" i="14" s="1"/>
  <c r="E28" i="14"/>
  <c r="D28" i="14"/>
  <c r="D30" i="14" s="1"/>
  <c r="C28" i="14"/>
  <c r="C30" i="14" s="1"/>
  <c r="J27" i="14"/>
  <c r="N26" i="14"/>
  <c r="L26" i="14"/>
  <c r="K26" i="14"/>
  <c r="J26" i="14"/>
  <c r="I26" i="14"/>
  <c r="L25" i="14"/>
  <c r="J25" i="14"/>
  <c r="I25" i="14"/>
  <c r="I27" i="14" s="1"/>
  <c r="P24" i="14"/>
  <c r="N21" i="14"/>
  <c r="K21" i="14"/>
  <c r="H21" i="14"/>
  <c r="F21" i="14"/>
  <c r="F32" i="14" s="1"/>
  <c r="C21" i="14"/>
  <c r="P20" i="14"/>
  <c r="P19" i="14"/>
  <c r="N18" i="14"/>
  <c r="M18" i="14"/>
  <c r="M21" i="14" s="1"/>
  <c r="L18" i="14"/>
  <c r="L21" i="14" s="1"/>
  <c r="K18" i="14"/>
  <c r="J18" i="14"/>
  <c r="J21" i="14" s="1"/>
  <c r="J32" i="14" s="1"/>
  <c r="I18" i="14"/>
  <c r="I21" i="14" s="1"/>
  <c r="H18" i="14"/>
  <c r="G18" i="14"/>
  <c r="G21" i="14" s="1"/>
  <c r="G32" i="14" s="1"/>
  <c r="F18" i="14"/>
  <c r="E18" i="14"/>
  <c r="E21" i="14" s="1"/>
  <c r="E32" i="14" s="1"/>
  <c r="D18" i="14"/>
  <c r="D21" i="14" s="1"/>
  <c r="D32" i="14" s="1"/>
  <c r="C18" i="14"/>
  <c r="P15" i="14"/>
  <c r="P14" i="14"/>
  <c r="P13" i="14"/>
  <c r="P12" i="14"/>
  <c r="P11" i="14"/>
  <c r="P8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F26" i="12"/>
  <c r="L24" i="12"/>
  <c r="K24" i="12"/>
  <c r="K26" i="12" s="1"/>
  <c r="J24" i="12"/>
  <c r="I24" i="12"/>
  <c r="H24" i="12"/>
  <c r="H26" i="12" s="1"/>
  <c r="G24" i="12"/>
  <c r="F24" i="12"/>
  <c r="E24" i="12"/>
  <c r="D24" i="12"/>
  <c r="C24" i="12"/>
  <c r="C26" i="12" s="1"/>
  <c r="N23" i="12"/>
  <c r="N24" i="12" s="1"/>
  <c r="N26" i="12" s="1"/>
  <c r="M23" i="12"/>
  <c r="P23" i="12" s="1"/>
  <c r="P22" i="12"/>
  <c r="N19" i="12"/>
  <c r="M19" i="12"/>
  <c r="L19" i="12"/>
  <c r="L26" i="12" s="1"/>
  <c r="K19" i="12"/>
  <c r="J19" i="12"/>
  <c r="J26" i="12" s="1"/>
  <c r="I19" i="12"/>
  <c r="I26" i="12" s="1"/>
  <c r="H19" i="12"/>
  <c r="G19" i="12"/>
  <c r="G26" i="12" s="1"/>
  <c r="F19" i="12"/>
  <c r="E19" i="12"/>
  <c r="E26" i="12" s="1"/>
  <c r="D19" i="12"/>
  <c r="D26" i="12" s="1"/>
  <c r="C19" i="12"/>
  <c r="P19" i="12" s="1"/>
  <c r="P18" i="12"/>
  <c r="P17" i="12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P8" i="12" s="1"/>
  <c r="F8" i="12"/>
  <c r="E8" i="12"/>
  <c r="D8" i="12"/>
  <c r="C8" i="12"/>
  <c r="P7" i="12"/>
  <c r="P6" i="12"/>
  <c r="C30" i="15" l="1"/>
  <c r="P30" i="15" s="1"/>
  <c r="M30" i="14"/>
  <c r="M32" i="14"/>
  <c r="P21" i="14"/>
  <c r="P21" i="15"/>
  <c r="M24" i="12"/>
  <c r="P24" i="12" s="1"/>
  <c r="D21" i="15"/>
  <c r="D32" i="15" s="1"/>
  <c r="K27" i="14"/>
  <c r="K30" i="14" s="1"/>
  <c r="C32" i="14"/>
  <c r="P18" i="14"/>
  <c r="L27" i="14"/>
  <c r="L30" i="14" s="1"/>
  <c r="L32" i="14" s="1"/>
  <c r="P28" i="14"/>
  <c r="I30" i="14"/>
  <c r="I32" i="14" s="1"/>
  <c r="P28" i="15"/>
  <c r="N27" i="14"/>
  <c r="N30" i="14" s="1"/>
  <c r="N32" i="14" s="1"/>
  <c r="P25" i="14"/>
  <c r="C32" i="15" l="1"/>
  <c r="P32" i="15"/>
  <c r="K32" i="14"/>
  <c r="P30" i="14"/>
  <c r="M26" i="12"/>
  <c r="P26" i="12" s="1"/>
  <c r="P32" i="14"/>
  <c r="P27" i="14"/>
  <c r="C3" i="13" l="1"/>
</calcChain>
</file>

<file path=xl/sharedStrings.xml><?xml version="1.0" encoding="utf-8"?>
<sst xmlns="http://schemas.openxmlformats.org/spreadsheetml/2006/main" count="118" uniqueCount="45">
  <si>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</si>
  <si>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</si>
  <si>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</si>
  <si>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</si>
  <si>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</si>
  <si>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</si>
  <si>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</si>
  <si>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</si>
  <si>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</si>
  <si>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</si>
  <si>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</si>
  <si>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</si>
  <si>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</si>
  <si>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</si>
  <si>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</si>
  <si>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</si>
  <si>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</si>
  <si>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</si>
  <si>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</si>
  <si>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</si>
  <si>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</si>
  <si>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</si>
  <si>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</si>
  <si>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</si>
  <si>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</si>
  <si>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</si>
  <si>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</si>
  <si>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</si>
  <si>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</si>
  <si>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</si>
  <si>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</si>
  <si>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</si>
  <si>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</si>
  <si>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</si>
  <si>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</si>
  <si>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</si>
  <si>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</si>
  <si>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</si>
  <si>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TJM (Novembre 2022)</t>
  </si>
  <si>
    <t xml:space="preserve">Frais Achat </t>
  </si>
  <si>
    <t>Paternité</t>
  </si>
  <si>
    <t>Intéressement Net</t>
  </si>
  <si>
    <t>CSG/CRDS Intéressement</t>
  </si>
  <si>
    <t>Frais PEE Amundi</t>
  </si>
  <si>
    <t xml:space="preserve">Prime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</si>
</sst>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0" fillId="2" borderId="2" xfId="0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0" fillId="7" borderId="2" xfId="0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2" xfId="0" applyFill="1" applyBorder="1"/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4" fontId="0" fillId="3" borderId="2" xfId="0" applyNumberForma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4" xfId="0" applyNumberFormat="1" applyFont="1" applyFill="1" applyBorder="1"/>
    <xf numFmtId="1" fontId="1" fillId="0" borderId="0" xfId="0" applyNumberFormat="1" applyFont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center" vertical="center"/>
    </xf>
    <xf numFmtId="1" fontId="9" fillId="0" borderId="9" xfId="0" applyNumberFormat="1" applyFont="1" applyBorder="1"/>
    <xf numFmtId="1" fontId="10" fillId="0" borderId="11" xfId="0" applyNumberFormat="1" applyFont="1" applyBorder="1"/>
    <xf numFmtId="0" fontId="11" fillId="0" borderId="12" xfId="0" applyFont="1" applyBorder="1"/>
    <xf numFmtId="4" fontId="10" fillId="11" borderId="11" xfId="0" applyNumberFormat="1" applyFont="1" applyFill="1" applyBorder="1"/>
    <xf numFmtId="0" fontId="0" fillId="0" borderId="13" xfId="0" applyBorder="1" applyProtection="1">
      <protection locked="0"/>
    </xf>
    <xf numFmtId="4" fontId="4" fillId="4" borderId="13" xfId="0" applyNumberFormat="1" applyFont="1" applyFill="1" applyBorder="1"/>
    <xf numFmtId="0" fontId="12" fillId="0" borderId="4" xfId="0" applyFont="1" applyBorder="1" applyProtection="1">
      <protection locked="0"/>
    </xf>
    <xf numFmtId="4" fontId="13" fillId="4" borderId="4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N27" sqref="N2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7" t="s">
        <v>9</v>
      </c>
    </row>
    <row r="2" spans="2:16" x14ac:dyDescent="0.45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4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60">
        <v>6</v>
      </c>
      <c r="N6" s="60">
        <v>19</v>
      </c>
      <c r="O6" s="36"/>
      <c r="P6" s="55">
        <f>SUM(C6:N6)</f>
        <v>25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60">
        <v>6</v>
      </c>
      <c r="N7" s="60">
        <v>22</v>
      </c>
      <c r="O7" s="36"/>
      <c r="P7" s="55">
        <f>SUM(C7:N7)</f>
        <v>28</v>
      </c>
    </row>
    <row r="8" spans="2:16" x14ac:dyDescent="0.45">
      <c r="B8" s="18" t="s">
        <v>22</v>
      </c>
      <c r="C8" s="59">
        <f t="shared" ref="C8:N8" si="0">C7-C6</f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  <c r="H8" s="59">
        <f t="shared" si="0"/>
        <v>0</v>
      </c>
      <c r="I8" s="59">
        <f t="shared" si="0"/>
        <v>0</v>
      </c>
      <c r="J8" s="59">
        <f t="shared" si="0"/>
        <v>0</v>
      </c>
      <c r="K8" s="59">
        <f t="shared" si="0"/>
        <v>0</v>
      </c>
      <c r="L8" s="59">
        <f t="shared" si="0"/>
        <v>0</v>
      </c>
      <c r="M8" s="59">
        <f t="shared" si="0"/>
        <v>0</v>
      </c>
      <c r="N8" s="59">
        <f t="shared" si="0"/>
        <v>3</v>
      </c>
      <c r="O8" s="36"/>
      <c r="P8" s="55">
        <f>SUM(C8:N8)</f>
        <v>3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4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61">
        <v>6</v>
      </c>
      <c r="N11" s="61">
        <v>22</v>
      </c>
      <c r="P11" s="56">
        <f>SUM(C11:N11)</f>
        <v>28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6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6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6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62">
        <v>2795.4</v>
      </c>
      <c r="N17" s="62">
        <v>10449.800000000001</v>
      </c>
      <c r="O17" s="4"/>
      <c r="P17" s="41">
        <f>SUM(C17:N17)</f>
        <v>13245.2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2795.4</v>
      </c>
      <c r="N19" s="28">
        <f t="shared" si="1"/>
        <v>10449.800000000001</v>
      </c>
      <c r="O19" s="5"/>
      <c r="P19" s="42">
        <f>SUM(C19:O19)</f>
        <v>13245.2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62">
        <v>1630.76</v>
      </c>
      <c r="N22" s="62">
        <v>5618.97</v>
      </c>
      <c r="O22" s="4"/>
      <c r="P22" s="43">
        <f>SUM(C22:N22)</f>
        <v>7249.7300000000005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62">
        <f>304.57+621.76</f>
        <v>926.32999999999993</v>
      </c>
      <c r="N23" s="62">
        <f>1135.89+2268.67</f>
        <v>3404.5600000000004</v>
      </c>
      <c r="O23" s="4"/>
      <c r="P23" s="43">
        <f>SUM(C23:N23)</f>
        <v>4330.8900000000003</v>
      </c>
    </row>
    <row r="24" spans="2:16" x14ac:dyDescent="0.45">
      <c r="B24" s="8" t="s">
        <v>3</v>
      </c>
      <c r="C24" s="44">
        <f t="shared" ref="C24:N24" si="2">SUM(C22:C23)</f>
        <v>0</v>
      </c>
      <c r="D24" s="44">
        <f t="shared" si="2"/>
        <v>0</v>
      </c>
      <c r="E24" s="44">
        <f t="shared" si="2"/>
        <v>0</v>
      </c>
      <c r="F24" s="44">
        <f t="shared" si="2"/>
        <v>0</v>
      </c>
      <c r="G24" s="44">
        <f t="shared" si="2"/>
        <v>0</v>
      </c>
      <c r="H24" s="44">
        <f t="shared" si="2"/>
        <v>0</v>
      </c>
      <c r="I24" s="44">
        <f t="shared" si="2"/>
        <v>0</v>
      </c>
      <c r="J24" s="44">
        <f t="shared" si="2"/>
        <v>0</v>
      </c>
      <c r="K24" s="44">
        <f t="shared" si="2"/>
        <v>0</v>
      </c>
      <c r="L24" s="44">
        <f t="shared" si="2"/>
        <v>0</v>
      </c>
      <c r="M24" s="44">
        <f t="shared" si="2"/>
        <v>2557.09</v>
      </c>
      <c r="N24" s="44">
        <f t="shared" si="2"/>
        <v>9023.5300000000007</v>
      </c>
      <c r="O24" s="4"/>
      <c r="P24" s="58">
        <f>SUM(C24:N24)</f>
        <v>11580.62</v>
      </c>
    </row>
    <row r="25" spans="2:16" x14ac:dyDescent="0.45">
      <c r="B25" s="4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5"/>
    </row>
    <row r="26" spans="2:16" x14ac:dyDescent="0.45">
      <c r="B26" s="46" t="s">
        <v>36</v>
      </c>
      <c r="C26" s="47">
        <f t="shared" ref="C26:N26" si="3">C19-C24</f>
        <v>0</v>
      </c>
      <c r="D26" s="47">
        <f t="shared" si="3"/>
        <v>0</v>
      </c>
      <c r="E26" s="47">
        <f t="shared" si="3"/>
        <v>0</v>
      </c>
      <c r="F26" s="47">
        <f t="shared" si="3"/>
        <v>0</v>
      </c>
      <c r="G26" s="47">
        <f t="shared" si="3"/>
        <v>0</v>
      </c>
      <c r="H26" s="47">
        <f t="shared" si="3"/>
        <v>0</v>
      </c>
      <c r="I26" s="47">
        <f t="shared" si="3"/>
        <v>0</v>
      </c>
      <c r="J26" s="47">
        <f t="shared" si="3"/>
        <v>0</v>
      </c>
      <c r="K26" s="47">
        <f t="shared" si="3"/>
        <v>0</v>
      </c>
      <c r="L26" s="47">
        <f t="shared" si="3"/>
        <v>0</v>
      </c>
      <c r="M26" s="47">
        <f t="shared" si="3"/>
        <v>238.30999999999995</v>
      </c>
      <c r="N26" s="47">
        <f t="shared" si="3"/>
        <v>1426.2700000000004</v>
      </c>
      <c r="P26" s="57">
        <f>SUM(C26:O26)</f>
        <v>1664.5800000000004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2"/>
  <sheetViews>
    <sheetView topLeftCell="B1" workbookViewId="0">
      <selection activeCell="N25" sqref="N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7" t="s">
        <v>9</v>
      </c>
    </row>
    <row r="2" spans="2:16" x14ac:dyDescent="0.45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4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5">
        <f>SUM(C6:N6)</f>
        <v>228</v>
      </c>
    </row>
    <row r="7" spans="2:16" x14ac:dyDescent="0.45">
      <c r="B7" s="9" t="s">
        <v>21</v>
      </c>
      <c r="C7" s="37">
        <v>22</v>
      </c>
      <c r="D7" s="37">
        <v>20</v>
      </c>
      <c r="E7" s="37">
        <v>23</v>
      </c>
      <c r="F7" s="37">
        <v>19</v>
      </c>
      <c r="G7" s="37">
        <v>18</v>
      </c>
      <c r="H7" s="37">
        <v>12</v>
      </c>
      <c r="I7" s="37">
        <v>20</v>
      </c>
      <c r="J7" s="37">
        <v>22</v>
      </c>
      <c r="K7" s="37">
        <v>21</v>
      </c>
      <c r="L7" s="37">
        <v>22</v>
      </c>
      <c r="M7" s="37">
        <v>18</v>
      </c>
      <c r="N7" s="37">
        <v>20</v>
      </c>
      <c r="O7" s="36"/>
      <c r="P7" s="55">
        <f>SUM(C7:N7)</f>
        <v>237</v>
      </c>
    </row>
    <row r="8" spans="2:16" x14ac:dyDescent="0.45">
      <c r="B8" s="18" t="s">
        <v>22</v>
      </c>
      <c r="C8" s="59">
        <f t="shared" ref="C8:N8" si="0">C7-C6</f>
        <v>3</v>
      </c>
      <c r="D8" s="59">
        <f t="shared" si="0"/>
        <v>1</v>
      </c>
      <c r="E8" s="59">
        <f t="shared" si="0"/>
        <v>4</v>
      </c>
      <c r="F8" s="59">
        <f t="shared" si="0"/>
        <v>0</v>
      </c>
      <c r="G8" s="59">
        <f t="shared" si="0"/>
        <v>-1</v>
      </c>
      <c r="H8" s="59">
        <f t="shared" si="0"/>
        <v>-7</v>
      </c>
      <c r="I8" s="59">
        <f t="shared" si="0"/>
        <v>1</v>
      </c>
      <c r="J8" s="59">
        <f t="shared" si="0"/>
        <v>3</v>
      </c>
      <c r="K8" s="59">
        <f t="shared" si="0"/>
        <v>2</v>
      </c>
      <c r="L8" s="59">
        <f t="shared" si="0"/>
        <v>3</v>
      </c>
      <c r="M8" s="59">
        <f t="shared" si="0"/>
        <v>-1</v>
      </c>
      <c r="N8" s="59">
        <f t="shared" si="0"/>
        <v>1</v>
      </c>
      <c r="O8" s="36"/>
      <c r="P8" s="55">
        <f>SUM(C8:N8)</f>
        <v>9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4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20</v>
      </c>
      <c r="E11" s="11">
        <v>23</v>
      </c>
      <c r="F11" s="11">
        <v>19</v>
      </c>
      <c r="G11" s="11">
        <v>18.5</v>
      </c>
      <c r="H11" s="11">
        <v>12</v>
      </c>
      <c r="I11" s="11">
        <v>20</v>
      </c>
      <c r="J11" s="11">
        <v>22</v>
      </c>
      <c r="K11" s="11">
        <v>21</v>
      </c>
      <c r="L11" s="11">
        <v>22</v>
      </c>
      <c r="M11" s="11">
        <v>18</v>
      </c>
      <c r="N11" s="11">
        <v>20</v>
      </c>
      <c r="P11" s="56">
        <f>SUM(C11:N11)</f>
        <v>237.5</v>
      </c>
    </row>
    <row r="12" spans="2:16" x14ac:dyDescent="0.45">
      <c r="B12" s="9" t="s">
        <v>16</v>
      </c>
      <c r="C12" s="12"/>
      <c r="D12" s="12"/>
      <c r="E12" s="12"/>
      <c r="F12" s="12"/>
      <c r="G12" s="12">
        <v>0.5</v>
      </c>
      <c r="H12" s="12">
        <v>3</v>
      </c>
      <c r="I12" s="12"/>
      <c r="J12" s="12"/>
      <c r="K12" s="12"/>
      <c r="L12" s="12"/>
      <c r="M12" s="12">
        <v>3</v>
      </c>
      <c r="N12" s="12"/>
      <c r="P12" s="56">
        <f>SUM(C12:N12)</f>
        <v>6.5</v>
      </c>
    </row>
    <row r="13" spans="2:16" x14ac:dyDescent="0.45">
      <c r="B13" s="9" t="s">
        <v>40</v>
      </c>
      <c r="C13" s="12"/>
      <c r="D13" s="12"/>
      <c r="E13" s="12"/>
      <c r="F13" s="12"/>
      <c r="G13" s="12"/>
      <c r="H13" s="12">
        <v>7</v>
      </c>
      <c r="I13" s="12"/>
      <c r="J13" s="12"/>
      <c r="K13" s="12"/>
      <c r="L13" s="12"/>
      <c r="M13" s="12"/>
      <c r="N13" s="12"/>
      <c r="P13" s="56">
        <f>SUM(C13:N13)</f>
        <v>7</v>
      </c>
    </row>
    <row r="14" spans="2:16" x14ac:dyDescent="0.45">
      <c r="B14" s="9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6">
        <f>SUM(C14:N14)</f>
        <v>0</v>
      </c>
    </row>
    <row r="15" spans="2:16" x14ac:dyDescent="0.45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6">
        <f>SUM(C15:N15)</f>
        <v>0</v>
      </c>
    </row>
    <row r="16" spans="2:16" x14ac:dyDescent="0.45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45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45">
      <c r="B18" s="9" t="s">
        <v>6</v>
      </c>
      <c r="C18" s="10">
        <f>C11*Params!$C$5*(1-Params!$C$3)-Params!$C$4</f>
        <v>10449.800000000001</v>
      </c>
      <c r="D18" s="10">
        <f>D11*Params!$C$5*(1-Params!$C$3)-Params!$C$4</f>
        <v>9493</v>
      </c>
      <c r="E18" s="10">
        <f>E11*Params!$C$5*(1-Params!$C$3)-Params!$C$4</f>
        <v>10928.2</v>
      </c>
      <c r="F18" s="10">
        <f>F11*Params!$C$5*(1-Params!$C$3)-Params!$C$4</f>
        <v>9014.6</v>
      </c>
      <c r="G18" s="10">
        <f>G11*Params!$C$5*(1-Params!$C$3)-Params!$C$4</f>
        <v>8775.4</v>
      </c>
      <c r="H18" s="10">
        <f>H11*Params!$C$5*(1-Params!$C$3)-Params!$C$4</f>
        <v>5665.8</v>
      </c>
      <c r="I18" s="10">
        <f>I11*Params!$C$5*(1-Params!$C$3)-Params!$C$4</f>
        <v>9493</v>
      </c>
      <c r="J18" s="10">
        <f>J11*Params!$C$5*(1-Params!$C$3)-Params!$C$4</f>
        <v>10449.800000000001</v>
      </c>
      <c r="K18" s="10">
        <f>K11*Params!$C$5*(1-Params!$C$3)-Params!$C$4</f>
        <v>9971.4</v>
      </c>
      <c r="L18" s="10">
        <f>L11*Params!$C$5*(1-Params!$C$3)-Params!$C$4</f>
        <v>10449.800000000001</v>
      </c>
      <c r="M18" s="10">
        <f>M11*Params!$C$5*(1-Params!$C$3)-Params!$C$4</f>
        <v>8536.2000000000007</v>
      </c>
      <c r="N18" s="10">
        <f>N11*Params!$C$5*(1-Params!$C$3)-Params!$C$4</f>
        <v>9493</v>
      </c>
      <c r="O18" s="4"/>
      <c r="P18" s="41">
        <f>SUM(C18:N18)</f>
        <v>112720</v>
      </c>
    </row>
    <row r="19" spans="2:16" x14ac:dyDescent="0.45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45">
      <c r="B20" s="63" t="s">
        <v>44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>
        <v>800</v>
      </c>
      <c r="N20" s="64"/>
      <c r="O20" s="4"/>
      <c r="P20" s="41">
        <f>SUM(C20:N20)</f>
        <v>800</v>
      </c>
    </row>
    <row r="21" spans="2:16" x14ac:dyDescent="0.45">
      <c r="B21" s="27" t="s">
        <v>2</v>
      </c>
      <c r="C21" s="28">
        <f t="shared" ref="C21:N21" si="1">SUM(C18:C19)</f>
        <v>10449.800000000001</v>
      </c>
      <c r="D21" s="28">
        <f t="shared" si="1"/>
        <v>9493</v>
      </c>
      <c r="E21" s="28">
        <f t="shared" si="1"/>
        <v>10928.2</v>
      </c>
      <c r="F21" s="28">
        <f t="shared" si="1"/>
        <v>9014.6</v>
      </c>
      <c r="G21" s="28">
        <f t="shared" si="1"/>
        <v>8775.4</v>
      </c>
      <c r="H21" s="28">
        <f t="shared" si="1"/>
        <v>5665.8</v>
      </c>
      <c r="I21" s="28">
        <f t="shared" si="1"/>
        <v>9493</v>
      </c>
      <c r="J21" s="28">
        <f t="shared" si="1"/>
        <v>10449.800000000001</v>
      </c>
      <c r="K21" s="28">
        <f t="shared" si="1"/>
        <v>9971.4</v>
      </c>
      <c r="L21" s="28">
        <f t="shared" si="1"/>
        <v>10449.800000000001</v>
      </c>
      <c r="M21" s="28">
        <f>SUM(M18:M20)</f>
        <v>9336.2000000000007</v>
      </c>
      <c r="N21" s="28">
        <f t="shared" si="1"/>
        <v>9493</v>
      </c>
      <c r="O21" s="5"/>
      <c r="P21" s="42">
        <f>SUM(C21:N21)</f>
        <v>113520</v>
      </c>
    </row>
    <row r="22" spans="2:16" x14ac:dyDescent="0.45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45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45">
      <c r="B24" s="9" t="s">
        <v>7</v>
      </c>
      <c r="C24" s="10">
        <v>5622.89</v>
      </c>
      <c r="D24" s="10">
        <v>5622.89</v>
      </c>
      <c r="E24" s="10">
        <v>5622.89</v>
      </c>
      <c r="F24" s="10">
        <v>5622.89</v>
      </c>
      <c r="G24" s="10">
        <v>5622.89</v>
      </c>
      <c r="H24" s="10">
        <v>4750.97</v>
      </c>
      <c r="I24" s="10">
        <v>4545.24</v>
      </c>
      <c r="J24" s="10">
        <v>4545.24</v>
      </c>
      <c r="K24" s="10">
        <v>4545.24</v>
      </c>
      <c r="L24" s="10">
        <v>5368.52</v>
      </c>
      <c r="M24" s="10">
        <v>3123.8</v>
      </c>
      <c r="N24" s="10">
        <v>9150.15</v>
      </c>
      <c r="O24" s="4"/>
      <c r="P24" s="43">
        <f t="shared" ref="P24:P30" si="2">SUM(C24:N24)</f>
        <v>64143.609999999993</v>
      </c>
    </row>
    <row r="25" spans="2:16" x14ac:dyDescent="0.45">
      <c r="B25" s="9" t="s">
        <v>41</v>
      </c>
      <c r="C25" s="10"/>
      <c r="D25" s="10"/>
      <c r="E25" s="10"/>
      <c r="F25" s="10"/>
      <c r="G25" s="10"/>
      <c r="H25" s="10"/>
      <c r="I25" s="10">
        <f t="shared" ref="I25:N25" si="3">(5566.38/5)*(1-9.7%)</f>
        <v>1005.2882280000001</v>
      </c>
      <c r="J25" s="10">
        <f t="shared" si="3"/>
        <v>1005.2882280000001</v>
      </c>
      <c r="K25" s="10">
        <f>(5566.38/5)*(1-9.7%)</f>
        <v>1005.2882280000001</v>
      </c>
      <c r="L25" s="10">
        <f t="shared" si="3"/>
        <v>1005.2882280000001</v>
      </c>
      <c r="M25" s="10">
        <f>(3818.75/5)*(1-9.7%)</f>
        <v>689.66624999999999</v>
      </c>
      <c r="N25" s="10">
        <f>(5566.38/5)*(1-9.7%)</f>
        <v>1005.2882280000001</v>
      </c>
      <c r="O25" s="4"/>
      <c r="P25" s="43">
        <f t="shared" si="2"/>
        <v>5716.107390000001</v>
      </c>
    </row>
    <row r="26" spans="2:16" x14ac:dyDescent="0.45">
      <c r="B26" s="65" t="s">
        <v>42</v>
      </c>
      <c r="C26" s="10"/>
      <c r="D26" s="10"/>
      <c r="E26" s="10"/>
      <c r="F26" s="10"/>
      <c r="G26" s="10"/>
      <c r="H26" s="10"/>
      <c r="I26" s="66">
        <f t="shared" ref="I26:N26" si="4">(5566.38/5)*9.7%</f>
        <v>107.98777199999999</v>
      </c>
      <c r="J26" s="66">
        <f t="shared" si="4"/>
        <v>107.98777199999999</v>
      </c>
      <c r="K26" s="66">
        <f t="shared" si="4"/>
        <v>107.98777199999999</v>
      </c>
      <c r="L26" s="66">
        <f t="shared" si="4"/>
        <v>107.98777199999999</v>
      </c>
      <c r="M26" s="66">
        <f>(3818.75/5)*9.7%</f>
        <v>74.083749999999995</v>
      </c>
      <c r="N26" s="66">
        <f t="shared" si="4"/>
        <v>107.98777199999999</v>
      </c>
      <c r="O26" s="4"/>
      <c r="P26" s="43">
        <f t="shared" si="2"/>
        <v>614.02260999999999</v>
      </c>
    </row>
    <row r="27" spans="2:16" x14ac:dyDescent="0.45">
      <c r="B27" s="65" t="s">
        <v>43</v>
      </c>
      <c r="C27" s="10"/>
      <c r="D27" s="10"/>
      <c r="E27" s="10"/>
      <c r="F27" s="10"/>
      <c r="G27" s="10"/>
      <c r="H27" s="10"/>
      <c r="I27" s="66">
        <f t="shared" ref="I27:N27" si="5">(I25)*0.02</f>
        <v>20.105764560000004</v>
      </c>
      <c r="J27" s="66">
        <f t="shared" si="5"/>
        <v>20.105764560000004</v>
      </c>
      <c r="K27" s="66">
        <f t="shared" si="5"/>
        <v>20.105764560000004</v>
      </c>
      <c r="L27" s="66">
        <f t="shared" si="5"/>
        <v>20.105764560000004</v>
      </c>
      <c r="M27" s="66">
        <f t="shared" si="5"/>
        <v>13.793324999999999</v>
      </c>
      <c r="N27" s="66">
        <f t="shared" si="5"/>
        <v>20.105764560000004</v>
      </c>
      <c r="O27" s="4"/>
      <c r="P27" s="43">
        <f t="shared" si="2"/>
        <v>114.32214780000001</v>
      </c>
    </row>
    <row r="28" spans="2:16" x14ac:dyDescent="0.45">
      <c r="B28" s="9" t="s">
        <v>8</v>
      </c>
      <c r="C28" s="10">
        <f>1140.88+2271.14</f>
        <v>3412.02</v>
      </c>
      <c r="D28" s="10">
        <f>1140.88+2271.14</f>
        <v>3412.02</v>
      </c>
      <c r="E28" s="10">
        <f>1140.88+2271.14</f>
        <v>3412.02</v>
      </c>
      <c r="F28" s="10">
        <f>1140.88+2271.14</f>
        <v>3412.02</v>
      </c>
      <c r="G28" s="10">
        <f>1140.88+2273.92</f>
        <v>3414.8</v>
      </c>
      <c r="H28" s="10">
        <f>1031.41+1899.37</f>
        <v>2930.7799999999997</v>
      </c>
      <c r="I28" s="10">
        <f>1105.25+2272.53</f>
        <v>3377.78</v>
      </c>
      <c r="J28" s="10">
        <f>1105.25+2272.53</f>
        <v>3377.78</v>
      </c>
      <c r="K28" s="10">
        <f>1105.25+2272.53</f>
        <v>3377.78</v>
      </c>
      <c r="L28" s="10">
        <f>1191.97+2272.53</f>
        <v>3464.5</v>
      </c>
      <c r="M28" s="10">
        <f>779.06+1576.94</f>
        <v>2356</v>
      </c>
      <c r="N28" s="10">
        <f>1590.34+2272.53</f>
        <v>3862.87</v>
      </c>
      <c r="O28" s="4"/>
      <c r="P28" s="43">
        <f t="shared" si="2"/>
        <v>39810.370000000003</v>
      </c>
    </row>
    <row r="29" spans="2:16" x14ac:dyDescent="0.45">
      <c r="B29" s="63" t="s">
        <v>39</v>
      </c>
      <c r="C29" s="64"/>
      <c r="D29" s="64">
        <v>1340.83</v>
      </c>
      <c r="E29" s="64"/>
      <c r="F29" s="64"/>
      <c r="G29" s="64"/>
      <c r="H29" s="64"/>
      <c r="I29" s="64">
        <v>169.08</v>
      </c>
      <c r="J29" s="64">
        <v>2332.5</v>
      </c>
      <c r="K29" s="64"/>
      <c r="L29" s="64"/>
      <c r="M29" s="64"/>
      <c r="N29" s="64"/>
      <c r="O29" s="4"/>
      <c r="P29" s="43">
        <f t="shared" si="2"/>
        <v>3842.41</v>
      </c>
    </row>
    <row r="30" spans="2:16" x14ac:dyDescent="0.45">
      <c r="B30" s="8" t="s">
        <v>3</v>
      </c>
      <c r="C30" s="44">
        <f t="shared" ref="C30:N30" si="6">SUM(C24:C29)</f>
        <v>9034.91</v>
      </c>
      <c r="D30" s="44">
        <f t="shared" si="6"/>
        <v>10375.74</v>
      </c>
      <c r="E30" s="44">
        <f t="shared" si="6"/>
        <v>9034.91</v>
      </c>
      <c r="F30" s="44">
        <f t="shared" si="6"/>
        <v>9034.91</v>
      </c>
      <c r="G30" s="44">
        <f t="shared" si="6"/>
        <v>9037.69</v>
      </c>
      <c r="H30" s="44">
        <f t="shared" si="6"/>
        <v>7681.75</v>
      </c>
      <c r="I30" s="44">
        <f t="shared" si="6"/>
        <v>9225.4817645600015</v>
      </c>
      <c r="J30" s="44">
        <f t="shared" si="6"/>
        <v>11388.901764560002</v>
      </c>
      <c r="K30" s="44">
        <f t="shared" si="6"/>
        <v>9056.4017645600015</v>
      </c>
      <c r="L30" s="44">
        <f t="shared" si="6"/>
        <v>9966.4017645600015</v>
      </c>
      <c r="M30" s="44">
        <f t="shared" si="6"/>
        <v>6257.3433249999998</v>
      </c>
      <c r="N30" s="44">
        <f t="shared" si="6"/>
        <v>14146.40176456</v>
      </c>
      <c r="O30" s="4"/>
      <c r="P30" s="58">
        <f t="shared" si="2"/>
        <v>114240.84214779998</v>
      </c>
    </row>
    <row r="31" spans="2:16" x14ac:dyDescent="0.45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45">
      <c r="B32" s="46" t="s">
        <v>36</v>
      </c>
      <c r="C32" s="47">
        <f t="shared" ref="C32:N32" si="7">C21-C30</f>
        <v>1414.8900000000012</v>
      </c>
      <c r="D32" s="47">
        <f t="shared" si="7"/>
        <v>-882.73999999999978</v>
      </c>
      <c r="E32" s="47">
        <f t="shared" si="7"/>
        <v>1893.2900000000009</v>
      </c>
      <c r="F32" s="47">
        <f t="shared" si="7"/>
        <v>-20.309999999999491</v>
      </c>
      <c r="G32" s="47">
        <f t="shared" si="7"/>
        <v>-262.29000000000087</v>
      </c>
      <c r="H32" s="47">
        <f t="shared" si="7"/>
        <v>-2015.9499999999998</v>
      </c>
      <c r="I32" s="47">
        <f t="shared" si="7"/>
        <v>267.51823543999853</v>
      </c>
      <c r="J32" s="47">
        <f t="shared" si="7"/>
        <v>-939.10176456000045</v>
      </c>
      <c r="K32" s="47">
        <f t="shared" si="7"/>
        <v>914.9982354399981</v>
      </c>
      <c r="L32" s="47">
        <f t="shared" si="7"/>
        <v>483.39823543999955</v>
      </c>
      <c r="M32" s="47">
        <f t="shared" si="7"/>
        <v>3078.8566750000009</v>
      </c>
      <c r="N32" s="47">
        <f t="shared" si="7"/>
        <v>-4653.4017645599997</v>
      </c>
      <c r="P32" s="57">
        <f>SUM(C32:N32)</f>
        <v>-720.84214780000093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D12C4-0CA4-4029-A898-623B633058E0}">
  <dimension ref="B1:P32"/>
  <sheetViews>
    <sheetView topLeftCell="B1" workbookViewId="0">
      <selection activeCell="D25" sqref="D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7" t="s">
        <v>9</v>
      </c>
    </row>
    <row r="2" spans="2:16" x14ac:dyDescent="0.45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4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5">
        <f>SUM(C6:N6)</f>
        <v>38</v>
      </c>
    </row>
    <row r="7" spans="2:16" x14ac:dyDescent="0.45">
      <c r="B7" s="9" t="s">
        <v>21</v>
      </c>
      <c r="C7" s="37">
        <v>22</v>
      </c>
      <c r="D7" s="37">
        <v>21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5">
        <f>SUM(C7:N7)</f>
        <v>43</v>
      </c>
    </row>
    <row r="8" spans="2:16" x14ac:dyDescent="0.45">
      <c r="B8" s="18" t="s">
        <v>22</v>
      </c>
      <c r="C8" s="59">
        <f t="shared" ref="C8:N8" si="0">C7-C6</f>
        <v>3</v>
      </c>
      <c r="D8" s="59">
        <f t="shared" si="0"/>
        <v>2</v>
      </c>
      <c r="E8" s="59">
        <f t="shared" si="0"/>
        <v>0</v>
      </c>
      <c r="F8" s="59">
        <f t="shared" si="0"/>
        <v>0</v>
      </c>
      <c r="G8" s="59">
        <f t="shared" si="0"/>
        <v>0</v>
      </c>
      <c r="H8" s="59">
        <f t="shared" si="0"/>
        <v>0</v>
      </c>
      <c r="I8" s="59">
        <f t="shared" si="0"/>
        <v>0</v>
      </c>
      <c r="J8" s="59">
        <f t="shared" si="0"/>
        <v>0</v>
      </c>
      <c r="K8" s="59">
        <f t="shared" si="0"/>
        <v>0</v>
      </c>
      <c r="L8" s="59">
        <f t="shared" si="0"/>
        <v>0</v>
      </c>
      <c r="M8" s="59">
        <f t="shared" si="0"/>
        <v>0</v>
      </c>
      <c r="N8" s="59">
        <f t="shared" si="0"/>
        <v>0</v>
      </c>
      <c r="O8" s="36"/>
      <c r="P8" s="55">
        <f>SUM(C8:N8)</f>
        <v>5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4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21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6">
        <f>SUM(C11:N11)</f>
        <v>43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6">
        <f>SUM(C12:N12)</f>
        <v>0</v>
      </c>
    </row>
    <row r="13" spans="2:16" x14ac:dyDescent="0.45">
      <c r="B13" s="9" t="s">
        <v>40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6">
        <f>SUM(C13:N13)</f>
        <v>0</v>
      </c>
    </row>
    <row r="14" spans="2:16" x14ac:dyDescent="0.45">
      <c r="B14" s="9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6">
        <f>SUM(C14:N14)</f>
        <v>0</v>
      </c>
    </row>
    <row r="15" spans="2:16" x14ac:dyDescent="0.45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6">
        <f>SUM(C15:N15)</f>
        <v>0</v>
      </c>
    </row>
    <row r="16" spans="2:16" x14ac:dyDescent="0.45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45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45">
      <c r="B18" s="9" t="s">
        <v>6</v>
      </c>
      <c r="C18" s="10">
        <f>C11*Params!$C$5*(1-Params!$C$3)-Params!$C$4</f>
        <v>10449.800000000001</v>
      </c>
      <c r="D18" s="10">
        <f>D11*Params!$C$5*(1-Params!$C$3)-Params!$C$4</f>
        <v>9971.4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20421.2</v>
      </c>
    </row>
    <row r="19" spans="2:16" x14ac:dyDescent="0.45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45">
      <c r="B20" s="63" t="s">
        <v>44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4"/>
      <c r="P20" s="41">
        <f>SUM(C20:N20)</f>
        <v>0</v>
      </c>
    </row>
    <row r="21" spans="2:16" x14ac:dyDescent="0.45">
      <c r="B21" s="27" t="s">
        <v>2</v>
      </c>
      <c r="C21" s="28">
        <f t="shared" ref="C21:N21" si="1">SUM(C18:C19)</f>
        <v>10449.800000000001</v>
      </c>
      <c r="D21" s="28">
        <f t="shared" si="1"/>
        <v>9971.4</v>
      </c>
      <c r="E21" s="28">
        <f t="shared" si="1"/>
        <v>0</v>
      </c>
      <c r="F21" s="28">
        <f t="shared" si="1"/>
        <v>0</v>
      </c>
      <c r="G21" s="28">
        <f t="shared" si="1"/>
        <v>0</v>
      </c>
      <c r="H21" s="28">
        <f t="shared" si="1"/>
        <v>0</v>
      </c>
      <c r="I21" s="28">
        <f t="shared" si="1"/>
        <v>0</v>
      </c>
      <c r="J21" s="28">
        <f t="shared" si="1"/>
        <v>0</v>
      </c>
      <c r="K21" s="28">
        <f t="shared" si="1"/>
        <v>0</v>
      </c>
      <c r="L21" s="28">
        <f t="shared" si="1"/>
        <v>0</v>
      </c>
      <c r="M21" s="28">
        <f t="shared" si="1"/>
        <v>0</v>
      </c>
      <c r="N21" s="28">
        <f t="shared" si="1"/>
        <v>0</v>
      </c>
      <c r="O21" s="5"/>
      <c r="P21" s="42">
        <f>SUM(C21:N21)</f>
        <v>20421.2</v>
      </c>
    </row>
    <row r="22" spans="2:16" x14ac:dyDescent="0.45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45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45">
      <c r="B24" s="9" t="s">
        <v>7</v>
      </c>
      <c r="C24" s="10">
        <v>4537.9399999999996</v>
      </c>
      <c r="D24" s="10">
        <v>4707.9399999999996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 t="shared" ref="P24:P30" si="2">SUM(C24:N24)</f>
        <v>9245.8799999999992</v>
      </c>
    </row>
    <row r="25" spans="2:16" x14ac:dyDescent="0.45">
      <c r="B25" s="9" t="s">
        <v>41</v>
      </c>
      <c r="C25" s="10">
        <f>(5570.18/5)*(1-9.7%)</f>
        <v>1005.9745080000001</v>
      </c>
      <c r="D25" s="10">
        <f>(5570.18/5)*(1-9.7%)</f>
        <v>1005.9745080000001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 t="shared" si="2"/>
        <v>2011.9490160000003</v>
      </c>
    </row>
    <row r="26" spans="2:16" x14ac:dyDescent="0.45">
      <c r="B26" s="65" t="s">
        <v>42</v>
      </c>
      <c r="C26" s="66">
        <f>(5570.18/5)*9.7%</f>
        <v>108.06149199999999</v>
      </c>
      <c r="D26" s="66">
        <f>(5570.18/5)*9.7%</f>
        <v>108.06149199999999</v>
      </c>
      <c r="E26" s="10"/>
      <c r="F26" s="10"/>
      <c r="G26" s="10"/>
      <c r="H26" s="10"/>
      <c r="I26" s="66"/>
      <c r="J26" s="66"/>
      <c r="K26" s="66"/>
      <c r="L26" s="66"/>
      <c r="M26" s="66"/>
      <c r="N26" s="66"/>
      <c r="O26" s="4"/>
      <c r="P26" s="43">
        <f t="shared" si="2"/>
        <v>216.12298399999997</v>
      </c>
    </row>
    <row r="27" spans="2:16" x14ac:dyDescent="0.45">
      <c r="B27" s="65" t="s">
        <v>43</v>
      </c>
      <c r="C27" s="66">
        <f t="shared" ref="C27:D27" si="3">(C25)*0.02</f>
        <v>20.119490160000002</v>
      </c>
      <c r="D27" s="66">
        <f t="shared" si="3"/>
        <v>20.119490160000002</v>
      </c>
      <c r="E27" s="10"/>
      <c r="F27" s="10"/>
      <c r="G27" s="10"/>
      <c r="H27" s="10"/>
      <c r="I27" s="66"/>
      <c r="J27" s="66"/>
      <c r="K27" s="66"/>
      <c r="L27" s="66"/>
      <c r="M27" s="66"/>
      <c r="N27" s="66"/>
      <c r="O27" s="4"/>
      <c r="P27" s="43">
        <f t="shared" si="2"/>
        <v>40.238980320000003</v>
      </c>
    </row>
    <row r="28" spans="2:16" x14ac:dyDescent="0.45">
      <c r="B28" s="9" t="s">
        <v>8</v>
      </c>
      <c r="C28" s="10">
        <f>1118.64+2289.59</f>
        <v>3408.2300000000005</v>
      </c>
      <c r="D28" s="10">
        <f>1118.64+2289.59</f>
        <v>3408.2300000000005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4"/>
      <c r="P28" s="43">
        <f t="shared" si="2"/>
        <v>6816.4600000000009</v>
      </c>
    </row>
    <row r="29" spans="2:16" x14ac:dyDescent="0.45">
      <c r="B29" s="63" t="s">
        <v>39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4"/>
      <c r="P29" s="43">
        <f t="shared" si="2"/>
        <v>0</v>
      </c>
    </row>
    <row r="30" spans="2:16" x14ac:dyDescent="0.45">
      <c r="B30" s="8" t="s">
        <v>3</v>
      </c>
      <c r="C30" s="44">
        <f t="shared" ref="C30:N30" si="4">SUM(C24:C29)</f>
        <v>9080.3254901600012</v>
      </c>
      <c r="D30" s="44">
        <f t="shared" si="4"/>
        <v>9250.3254901600012</v>
      </c>
      <c r="E30" s="44">
        <f t="shared" si="4"/>
        <v>0</v>
      </c>
      <c r="F30" s="44">
        <f t="shared" si="4"/>
        <v>0</v>
      </c>
      <c r="G30" s="44">
        <f t="shared" si="4"/>
        <v>0</v>
      </c>
      <c r="H30" s="44">
        <f t="shared" si="4"/>
        <v>0</v>
      </c>
      <c r="I30" s="44">
        <f t="shared" si="4"/>
        <v>0</v>
      </c>
      <c r="J30" s="44">
        <f t="shared" si="4"/>
        <v>0</v>
      </c>
      <c r="K30" s="44">
        <f t="shared" si="4"/>
        <v>0</v>
      </c>
      <c r="L30" s="44">
        <f t="shared" si="4"/>
        <v>0</v>
      </c>
      <c r="M30" s="44">
        <f t="shared" si="4"/>
        <v>0</v>
      </c>
      <c r="N30" s="44">
        <f t="shared" si="4"/>
        <v>0</v>
      </c>
      <c r="O30" s="4"/>
      <c r="P30" s="58">
        <f t="shared" si="2"/>
        <v>18330.650980320002</v>
      </c>
    </row>
    <row r="31" spans="2:16" x14ac:dyDescent="0.45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45">
      <c r="B32" s="46" t="s">
        <v>36</v>
      </c>
      <c r="C32" s="47">
        <f t="shared" ref="C32:N32" si="5">C21-C30</f>
        <v>1369.4745098399999</v>
      </c>
      <c r="D32" s="47">
        <f t="shared" si="5"/>
        <v>721.07450983999843</v>
      </c>
      <c r="E32" s="47">
        <f t="shared" si="5"/>
        <v>0</v>
      </c>
      <c r="F32" s="47">
        <f t="shared" si="5"/>
        <v>0</v>
      </c>
      <c r="G32" s="47">
        <f t="shared" si="5"/>
        <v>0</v>
      </c>
      <c r="H32" s="47">
        <f t="shared" si="5"/>
        <v>0</v>
      </c>
      <c r="I32" s="47">
        <f t="shared" si="5"/>
        <v>0</v>
      </c>
      <c r="J32" s="47">
        <f t="shared" si="5"/>
        <v>0</v>
      </c>
      <c r="K32" s="47">
        <f t="shared" si="5"/>
        <v>0</v>
      </c>
      <c r="L32" s="47">
        <f t="shared" si="5"/>
        <v>0</v>
      </c>
      <c r="M32" s="47">
        <f t="shared" si="5"/>
        <v>0</v>
      </c>
      <c r="N32" s="47">
        <f t="shared" si="5"/>
        <v>0</v>
      </c>
      <c r="P32" s="57">
        <f>SUM(C32:N32)</f>
        <v>2090.5490196799983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9" t="s">
        <v>23</v>
      </c>
      <c r="C2" s="70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38</v>
      </c>
      <c r="C5" s="33">
        <v>520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tabSelected="1" workbookViewId="0">
      <selection activeCell="C4" sqref="C4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1" t="s">
        <v>33</v>
      </c>
      <c r="C2" s="71"/>
    </row>
    <row r="3" spans="2:3" ht="16.899999999999999" customHeight="1" x14ac:dyDescent="0.45">
      <c r="B3" s="38" t="s">
        <v>34</v>
      </c>
      <c r="C3" s="39">
        <f>SUM('2022'!P26,'2023'!P32,'2024'!P32)</f>
        <v>3034.2868718799978</v>
      </c>
    </row>
    <row r="4" spans="2:3" ht="16.899999999999999" customHeight="1" x14ac:dyDescent="0.45">
      <c r="B4" s="38" t="s">
        <v>37</v>
      </c>
      <c r="C4" s="40">
        <f>'2022'!P12+'2023'!P12+'2024'!P12</f>
        <v>6.5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98</vt:i4>
      </vt:variant>
    </vt:vector>
  </HeadingPairs>
  <TitlesOfParts>
    <vt:vector size="103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SORTIES_INTERESSEMENT_CSG_CRDS</vt:lpstr>
      <vt:lpstr>SORTIES_INTERESSEMENT_NET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2024-03-04T19:19:35Z</dcterms:modified>
</cp:coreProperties>
</file>