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02\Normal\"/>
    </mc:Choice>
  </mc:AlternateContent>
  <xr:revisionPtr revIDLastSave="0" documentId="13_ncr:1_{6D04E864-83AA-4318-B321-E5E502AE2045}" xr6:coauthVersionLast="47" xr6:coauthVersionMax="47" xr10:uidLastSave="{00000000-0000-0000-0000-000000000000}"/>
  <bookViews>
    <workbookView xWindow="-98" yWindow="-98" windowWidth="22695" windowHeight="14476" activeTab="2" xr2:uid="{00000000-000D-0000-FFFF-FFFF00000000}"/>
  </bookViews>
  <sheets>
    <sheet name="2023" sheetId="14" r:id="rId1"/>
    <sheet name="2024" sheetId="15" r:id="rId2"/>
    <sheet name="Params" sheetId="10" r:id="rId3"/>
    <sheet name="Synthése" sheetId="13" r:id="rId4"/>
  </sheets>
  <definedNames>
    <definedName name="AOUT" localSheetId="0">'2023'!$J$3</definedName>
    <definedName name="AOUT" localSheetId="1">'2024'!$J$3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>#REF!</definedName>
    <definedName name="AVRIL" localSheetId="0">'2023'!$F$3</definedName>
    <definedName name="AVRIL" localSheetId="1">'2024'!$F$3</definedName>
    <definedName name="AVRIL">#REF!</definedName>
    <definedName name="CRA" localSheetId="0">'2023'!$B$10</definedName>
    <definedName name="CRA" localSheetId="1">'2024'!$B$10</definedName>
    <definedName name="CRA">#REF!</definedName>
    <definedName name="CRA_ASTREINTE" localSheetId="0">'2023'!$B$14</definedName>
    <definedName name="CRA_ASTREINTE" localSheetId="1">'2024'!$B$14</definedName>
    <definedName name="CRA_ASTREINTE">#REF!</definedName>
    <definedName name="CRA_CP" localSheetId="0">'2023'!$B$12</definedName>
    <definedName name="CRA_CP" localSheetId="1">'2024'!$B$12</definedName>
    <definedName name="CRA_CP">#REF!</definedName>
    <definedName name="CRA_PRODUCTION" localSheetId="0">'2023'!$B$11</definedName>
    <definedName name="CRA_PRODUCTION" localSheetId="1">'2024'!$B$11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>#REF!</definedName>
    <definedName name="DECEMBRE" localSheetId="0">'2023'!$N$3</definedName>
    <definedName name="DECEMBRE" localSheetId="1">'2024'!$N$3</definedName>
    <definedName name="DECEMBRE">#REF!</definedName>
    <definedName name="ENTREES" localSheetId="0">'2023'!$B$16</definedName>
    <definedName name="ENTREES" localSheetId="1">'2024'!$B$16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>#REF!</definedName>
    <definedName name="FEVRIER" localSheetId="0">'2023'!$D$3</definedName>
    <definedName name="FEVRIER" localSheetId="1">'2024'!$D$3</definedName>
    <definedName name="FEVRIER">#REF!</definedName>
    <definedName name="FRAIS_KM" localSheetId="0">'2023'!$B$30</definedName>
    <definedName name="FRAIS_KM" localSheetId="1">'2024'!$B$30</definedName>
    <definedName name="JANVIER" localSheetId="0">'2023'!$C$3</definedName>
    <definedName name="JANVIER" localSheetId="1">'2024'!$C$3</definedName>
    <definedName name="JANVIER">#REF!</definedName>
    <definedName name="JUILLET" localSheetId="0">'2023'!$I$3</definedName>
    <definedName name="JUILLET" localSheetId="1">'2024'!$I$3</definedName>
    <definedName name="JUILLET">#REF!</definedName>
    <definedName name="JUIN" localSheetId="0">'2023'!$H$3</definedName>
    <definedName name="JUIN" localSheetId="1">'2024'!$H$3</definedName>
    <definedName name="JUIN">#REF!</definedName>
    <definedName name="MAI" localSheetId="0">'2023'!$G$3</definedName>
    <definedName name="MAI" localSheetId="1">'2024'!$G$3</definedName>
    <definedName name="MAI">#REF!</definedName>
    <definedName name="MARS" localSheetId="0">'2023'!$E$3</definedName>
    <definedName name="MARS" localSheetId="1">'2024'!$E$3</definedName>
    <definedName name="MARS">#REF!</definedName>
    <definedName name="MOIS" localSheetId="0">'2023'!$B$3</definedName>
    <definedName name="MOIS" localSheetId="1">'2024'!$B$3</definedName>
    <definedName name="MOIS">#REF!</definedName>
    <definedName name="NOMBRE_KM" localSheetId="0">'2023'!$B$29</definedName>
    <definedName name="NOMBRE_KM" localSheetId="1">'2024'!$B$29</definedName>
    <definedName name="NOVEMBRE" localSheetId="0">'2023'!$M$3</definedName>
    <definedName name="NOVEMBRE" localSheetId="1">'2024'!$M$3</definedName>
    <definedName name="NOVEMBRE">#REF!</definedName>
    <definedName name="OCTOBRE" localSheetId="0">'2023'!$L$3</definedName>
    <definedName name="OCTOBRE" localSheetId="1">'2024'!$L$3</definedName>
    <definedName name="OCTOBRE">#REF!</definedName>
    <definedName name="REPAS" localSheetId="0">'2023'!$B$5</definedName>
    <definedName name="REPAS" localSheetId="1">'2024'!$B$5</definedName>
    <definedName name="REPAS">#REF!</definedName>
    <definedName name="REPAS_ACQUIS" localSheetId="0">'2023'!$B$7</definedName>
    <definedName name="REPAS_ACQUIS" localSheetId="1">'2024'!$B$7</definedName>
    <definedName name="REPAS_ACQUIS">#REF!</definedName>
    <definedName name="REPAS_PRIS" localSheetId="0">'2023'!$B$6</definedName>
    <definedName name="REPAS_PRIS" localSheetId="1">'2024'!$B$6</definedName>
    <definedName name="REPAS_PRIS">#REF!</definedName>
    <definedName name="REPAS_SOLDE" localSheetId="0">'2023'!$B$8</definedName>
    <definedName name="REPAS_SOLDE" localSheetId="1">'2024'!$B$8</definedName>
    <definedName name="REPAS_SOLDE">#REF!</definedName>
    <definedName name="SEPTEMBRE" localSheetId="0">'2023'!$K$3</definedName>
    <definedName name="SEPTEMBRE" localSheetId="1">'2024'!$K$3</definedName>
    <definedName name="SEPTEMBRE">#REF!</definedName>
    <definedName name="SOLDE" localSheetId="0">'2023'!$B$27</definedName>
    <definedName name="SOLDE" localSheetId="1">'2024'!$B$27</definedName>
    <definedName name="SORTIES" localSheetId="0">'2023'!$B$21</definedName>
    <definedName name="SORTIES" localSheetId="1">'2024'!$B$21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>#REF!</definedName>
    <definedName name="SORTIES_CHARGES_SOCIALES_PATRONALES" localSheetId="0">'2023'!$B$23</definedName>
    <definedName name="SORTIES_CHARGES_SOCIALES_PATRONALES" localSheetId="1">'2024'!$B$23</definedName>
    <definedName name="SORTIES_CHARGES_SOCIALES_PATRONALES">#REF!</definedName>
    <definedName name="SORTIES_FRAIS_KM" localSheetId="0">'2023'!$B$24</definedName>
    <definedName name="SORTIES_FRAIS_KM" localSheetId="1">'2024'!$B$24</definedName>
    <definedName name="SORTIES_FRAIS_PEE_AMUNDI" localSheetId="0">'2023'!#REF!</definedName>
    <definedName name="SORTIES_FRAIS_PEE_AMUNDI" localSheetId="1">'2024'!#REF!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>#REF!</definedName>
    <definedName name="SORTIES_SALAIRE_NET" localSheetId="0">'2023'!$B$22</definedName>
    <definedName name="SORTIES_SALAIRE_NET" localSheetId="1">'2024'!$B$22</definedName>
    <definedName name="SORTIES_SALAIRE_NET">#REF!</definedName>
    <definedName name="TOTAL" localSheetId="0">'2023'!$P$3</definedName>
    <definedName name="TOTAL" localSheetId="1">'2024'!$P$3</definedName>
    <definedName name="TOTAL">#REF!</definedName>
    <definedName name="TOTAL_ENTREES" localSheetId="0">'2023'!$B$19</definedName>
    <definedName name="TOTAL_ENTREES" localSheetId="1">'2024'!$B$19</definedName>
    <definedName name="TOTAL_ENTREES">#REF!</definedName>
    <definedName name="TOTAL_SORTIES" localSheetId="0">'2023'!$B$25</definedName>
    <definedName name="TOTAL_SORTIES" localSheetId="1">'2024'!$B$25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D17" i="15" l="1"/>
  <c r="D19" i="15" s="1"/>
  <c r="D27" i="15" s="1"/>
  <c r="P30" i="15"/>
  <c r="P29" i="15"/>
  <c r="N27" i="15"/>
  <c r="M27" i="15"/>
  <c r="I27" i="15"/>
  <c r="H27" i="15"/>
  <c r="G27" i="15"/>
  <c r="F27" i="15"/>
  <c r="E27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P25" i="15" s="1"/>
  <c r="P24" i="15"/>
  <c r="D23" i="15"/>
  <c r="C23" i="15"/>
  <c r="P23" i="15" s="1"/>
  <c r="P22" i="15"/>
  <c r="N19" i="15"/>
  <c r="M19" i="15"/>
  <c r="L19" i="15"/>
  <c r="L27" i="15" s="1"/>
  <c r="K19" i="15"/>
  <c r="K27" i="15" s="1"/>
  <c r="J19" i="15"/>
  <c r="J27" i="15" s="1"/>
  <c r="I19" i="15"/>
  <c r="H19" i="15"/>
  <c r="G19" i="15"/>
  <c r="F19" i="15"/>
  <c r="E19" i="15"/>
  <c r="P18" i="15"/>
  <c r="C17" i="15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8" i="15" s="1"/>
  <c r="P7" i="15"/>
  <c r="P6" i="15"/>
  <c r="P30" i="14"/>
  <c r="P29" i="14"/>
  <c r="P32" i="14" s="1"/>
  <c r="P33" i="14" s="1"/>
  <c r="M25" i="14"/>
  <c r="L25" i="14"/>
  <c r="K25" i="14"/>
  <c r="J25" i="14"/>
  <c r="I25" i="14"/>
  <c r="E25" i="14"/>
  <c r="D25" i="14"/>
  <c r="C25" i="14"/>
  <c r="P24" i="14"/>
  <c r="N23" i="14"/>
  <c r="N25" i="14" s="1"/>
  <c r="M23" i="14"/>
  <c r="L23" i="14"/>
  <c r="K23" i="14"/>
  <c r="J23" i="14"/>
  <c r="I23" i="14"/>
  <c r="H23" i="14"/>
  <c r="H25" i="14" s="1"/>
  <c r="G23" i="14"/>
  <c r="G25" i="14" s="1"/>
  <c r="F23" i="14"/>
  <c r="F25" i="14" s="1"/>
  <c r="E23" i="14"/>
  <c r="D23" i="14"/>
  <c r="C23" i="14"/>
  <c r="P22" i="14"/>
  <c r="E19" i="14"/>
  <c r="E27" i="14" s="1"/>
  <c r="P18" i="14"/>
  <c r="N17" i="14"/>
  <c r="N19" i="14" s="1"/>
  <c r="M17" i="14"/>
  <c r="M19" i="14" s="1"/>
  <c r="M27" i="14" s="1"/>
  <c r="L17" i="14"/>
  <c r="L19" i="14" s="1"/>
  <c r="L27" i="14" s="1"/>
  <c r="K17" i="14"/>
  <c r="K19" i="14" s="1"/>
  <c r="K27" i="14" s="1"/>
  <c r="J17" i="14"/>
  <c r="J19" i="14" s="1"/>
  <c r="J27" i="14" s="1"/>
  <c r="I17" i="14"/>
  <c r="I19" i="14" s="1"/>
  <c r="I27" i="14" s="1"/>
  <c r="H17" i="14"/>
  <c r="H19" i="14" s="1"/>
  <c r="H27" i="14" s="1"/>
  <c r="G17" i="14"/>
  <c r="G19" i="14" s="1"/>
  <c r="G27" i="14" s="1"/>
  <c r="F17" i="14"/>
  <c r="F19" i="14" s="1"/>
  <c r="F27" i="14" s="1"/>
  <c r="E17" i="14"/>
  <c r="D17" i="14"/>
  <c r="D19" i="14" s="1"/>
  <c r="D27" i="14" s="1"/>
  <c r="C17" i="14"/>
  <c r="C19" i="14" s="1"/>
  <c r="P14" i="14"/>
  <c r="P13" i="14"/>
  <c r="P12" i="14"/>
  <c r="C4" i="13" s="1"/>
  <c r="P11" i="14"/>
  <c r="N8" i="14"/>
  <c r="M8" i="14"/>
  <c r="L8" i="14"/>
  <c r="K8" i="14"/>
  <c r="J8" i="14"/>
  <c r="I8" i="14"/>
  <c r="H8" i="14"/>
  <c r="G8" i="14"/>
  <c r="F8" i="14"/>
  <c r="E8" i="14"/>
  <c r="D8" i="14"/>
  <c r="P8" i="14" s="1"/>
  <c r="C8" i="14"/>
  <c r="P7" i="14"/>
  <c r="P6" i="14"/>
  <c r="P17" i="15" l="1"/>
  <c r="P19" i="14"/>
  <c r="C27" i="14"/>
  <c r="P25" i="14"/>
  <c r="N27" i="14"/>
  <c r="C19" i="15"/>
  <c r="P23" i="14"/>
  <c r="P17" i="14"/>
  <c r="P27" i="14" l="1"/>
  <c r="C27" i="15"/>
  <c r="P27" i="15" s="1"/>
  <c r="P19" i="15"/>
  <c r="C3" i="13" l="1"/>
</calcChain>
</file>

<file path=xl/sharedStrings.xml><?xml version="1.0" encoding="utf-8"?>
<sst xmlns="http://schemas.openxmlformats.org/spreadsheetml/2006/main" count="82" uniqueCount="45">
  <si>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</si>
  <si>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</si>
  <si>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</si>
  <si>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</si>
  <si>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</si>
  <si>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</si>
  <si>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</si>
  <si>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</si>
  <si>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</si>
  <si>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</si>
  <si>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</si>
  <si>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</si>
  <si>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</si>
  <si>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</si>
  <si>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</si>
  <si>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</si>
  <si>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</si>
  <si>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</si>
  <si>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</si>
  <si>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</si>
  <si>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</si>
  <si>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</si>
  <si>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</si>
  <si>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</si>
  <si>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</si>
  <si>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</si>
  <si>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</si>
  <si>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</si>
  <si>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</si>
  <si>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</si>
  <si>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</si>
  <si>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</si>
  <si>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</si>
  <si>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</si>
  <si>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</si>
  <si>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</si>
  <si>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</si>
  <si>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</si>
  <si>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</si>
  <si>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</si>
  <si>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</si>
  <si>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(Janvier 2023)</t>
  </si>
  <si>
    <t>TJM (Octobre 2023)</t>
  </si>
  <si>
    <t>Frais KM annuel à payer</t>
  </si>
  <si>
    <t>Régularisation Frais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</si>
</sst>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4" fillId="4" borderId="2" xfId="0" applyNumberFormat="1" applyFont="1" applyFill="1" applyBorder="1"/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3"/>
  <sheetViews>
    <sheetView topLeftCell="A2" workbookViewId="0">
      <selection activeCell="I33" sqref="I33:K35"/>
    </sheetView>
  </sheetViews>
  <sheetFormatPr baseColWidth="10" defaultRowHeight="14.25" x14ac:dyDescent="0.45"/>
  <cols>
    <col min="1" max="1" width="3" customWidth="1"/>
    <col min="2" max="2" width="28" customWidth="1"/>
    <col min="14" max="14" width="18.86328125" bestFit="1" customWidth="1"/>
    <col min="15" max="15" width="4" customWidth="1"/>
    <col min="16" max="16" width="11" style="48" customWidth="1"/>
  </cols>
  <sheetData>
    <row r="1" spans="2:16" x14ac:dyDescent="0.45">
      <c r="B1" s="65" t="s">
        <v>9</v>
      </c>
    </row>
    <row r="2" spans="2:16" x14ac:dyDescent="0.45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10</v>
      </c>
      <c r="O6" s="36"/>
      <c r="P6" s="58">
        <f>SUM(C6:N6)</f>
        <v>219</v>
      </c>
    </row>
    <row r="7" spans="2:16" x14ac:dyDescent="0.45">
      <c r="B7" s="9" t="s">
        <v>21</v>
      </c>
      <c r="C7" s="37">
        <v>20</v>
      </c>
      <c r="D7" s="37">
        <v>20</v>
      </c>
      <c r="E7" s="37">
        <v>19</v>
      </c>
      <c r="F7" s="37">
        <v>17</v>
      </c>
      <c r="G7" s="37">
        <v>19</v>
      </c>
      <c r="H7" s="37">
        <v>18</v>
      </c>
      <c r="I7" s="37">
        <v>14</v>
      </c>
      <c r="J7" s="37">
        <v>18</v>
      </c>
      <c r="K7" s="37">
        <v>21</v>
      </c>
      <c r="L7" s="37">
        <v>14</v>
      </c>
      <c r="M7" s="37">
        <v>20</v>
      </c>
      <c r="N7" s="37">
        <v>19</v>
      </c>
      <c r="O7" s="36"/>
      <c r="P7" s="58">
        <f>SUM(C7:N7)</f>
        <v>219</v>
      </c>
    </row>
    <row r="8" spans="2:16" x14ac:dyDescent="0.45">
      <c r="B8" s="18" t="s">
        <v>22</v>
      </c>
      <c r="C8" s="64">
        <f t="shared" ref="C8:N8" si="0">C7-C6</f>
        <v>1</v>
      </c>
      <c r="D8" s="64">
        <f t="shared" si="0"/>
        <v>1</v>
      </c>
      <c r="E8" s="64">
        <f t="shared" si="0"/>
        <v>0</v>
      </c>
      <c r="F8" s="64">
        <f t="shared" si="0"/>
        <v>-2</v>
      </c>
      <c r="G8" s="64">
        <f t="shared" si="0"/>
        <v>0</v>
      </c>
      <c r="H8" s="64">
        <f t="shared" si="0"/>
        <v>-1</v>
      </c>
      <c r="I8" s="64">
        <f t="shared" si="0"/>
        <v>-5</v>
      </c>
      <c r="J8" s="64">
        <f t="shared" si="0"/>
        <v>-1</v>
      </c>
      <c r="K8" s="64">
        <f t="shared" si="0"/>
        <v>2</v>
      </c>
      <c r="L8" s="64">
        <f t="shared" si="0"/>
        <v>-5</v>
      </c>
      <c r="M8" s="64">
        <f t="shared" si="0"/>
        <v>1</v>
      </c>
      <c r="N8" s="64">
        <f t="shared" si="0"/>
        <v>9</v>
      </c>
      <c r="O8" s="36"/>
      <c r="P8" s="58">
        <f>SUM(C8:N8)</f>
        <v>0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>
        <v>20</v>
      </c>
      <c r="D11" s="11">
        <v>20</v>
      </c>
      <c r="E11" s="11">
        <v>19</v>
      </c>
      <c r="F11" s="11">
        <v>17</v>
      </c>
      <c r="G11" s="11">
        <v>19</v>
      </c>
      <c r="H11" s="11">
        <v>18</v>
      </c>
      <c r="I11" s="11">
        <v>14</v>
      </c>
      <c r="J11" s="11">
        <v>18</v>
      </c>
      <c r="K11" s="11">
        <v>21</v>
      </c>
      <c r="L11" s="11">
        <v>14</v>
      </c>
      <c r="M11" s="11">
        <v>20</v>
      </c>
      <c r="N11" s="11">
        <v>19</v>
      </c>
      <c r="P11" s="59">
        <f>SUM(C11:N11)</f>
        <v>219</v>
      </c>
    </row>
    <row r="12" spans="2:16" x14ac:dyDescent="0.45">
      <c r="B12" s="9" t="s">
        <v>16</v>
      </c>
      <c r="C12" s="12">
        <v>2</v>
      </c>
      <c r="D12" s="12"/>
      <c r="E12" s="12">
        <v>4</v>
      </c>
      <c r="F12" s="12">
        <v>2</v>
      </c>
      <c r="G12" s="12">
        <v>1</v>
      </c>
      <c r="H12" s="12">
        <v>4</v>
      </c>
      <c r="I12" s="12">
        <v>6</v>
      </c>
      <c r="J12" s="12">
        <v>4</v>
      </c>
      <c r="K12" s="12"/>
      <c r="L12" s="12">
        <v>8</v>
      </c>
      <c r="M12" s="12">
        <v>1</v>
      </c>
      <c r="N12" s="12">
        <v>1</v>
      </c>
      <c r="P12" s="59">
        <f>SUM(C12:N12)</f>
        <v>33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9">
        <f>SUM(C14:N14)</f>
        <v>0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>
        <f>C11*Params!$C$5*(1-Params!$C$3)-Params!$C$4</f>
        <v>9309</v>
      </c>
      <c r="D17" s="10">
        <f>D11*Params!$C$5*(1-Params!$C$3)-Params!$C$4</f>
        <v>9309</v>
      </c>
      <c r="E17" s="10">
        <f>E11*Params!$C$5*(1-Params!$C$3)-Params!$C$4</f>
        <v>8839.8000000000011</v>
      </c>
      <c r="F17" s="10">
        <f>F11*Params!$C$5*(1-Params!$C$3)-Params!$C$4</f>
        <v>7901.4000000000005</v>
      </c>
      <c r="G17" s="10">
        <f>G11*Params!$C$5*(1-Params!$C$3)-Params!$C$4</f>
        <v>8839.8000000000011</v>
      </c>
      <c r="H17" s="10">
        <f>H11*Params!$C$5*(1-Params!$C$3)-Params!$C$4</f>
        <v>8370.6</v>
      </c>
      <c r="I17" s="10">
        <f>I11*Params!$C$5*(1-Params!$C$3)-Params!$C$4</f>
        <v>6493.8</v>
      </c>
      <c r="J17" s="10">
        <f>J11*Params!$C$5*(1-Params!$C$3)-Params!$C$4</f>
        <v>8370.6</v>
      </c>
      <c r="K17" s="10">
        <f>K11*Params!$C$5*(1-Params!$C$3)-Params!$C$4</f>
        <v>9778.2000000000007</v>
      </c>
      <c r="L17" s="10">
        <f>L11*Params!$C$6*(1-Params!$C$3)-Params!$C$4</f>
        <v>7137.8</v>
      </c>
      <c r="M17" s="10">
        <f>M11*Params!$C$6*(1-Params!$C$3)-Params!$C$4</f>
        <v>10229</v>
      </c>
      <c r="N17" s="10">
        <f>N11*Params!$C$6*(1-Params!$C$3)-Params!$C$4</f>
        <v>9713.8000000000011</v>
      </c>
      <c r="O17" s="4"/>
      <c r="P17" s="41">
        <f>SUM(C17:N17)</f>
        <v>104292.80000000002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45">
      <c r="B19" s="27" t="s">
        <v>2</v>
      </c>
      <c r="C19" s="28">
        <f t="shared" ref="C19:N19" si="1">SUM(C17:C18)</f>
        <v>9309</v>
      </c>
      <c r="D19" s="28">
        <f t="shared" si="1"/>
        <v>9309</v>
      </c>
      <c r="E19" s="28">
        <f t="shared" si="1"/>
        <v>8839.8000000000011</v>
      </c>
      <c r="F19" s="28">
        <f t="shared" si="1"/>
        <v>7901.4000000000005</v>
      </c>
      <c r="G19" s="28">
        <f t="shared" si="1"/>
        <v>8839.8000000000011</v>
      </c>
      <c r="H19" s="28">
        <f t="shared" si="1"/>
        <v>8370.6</v>
      </c>
      <c r="I19" s="28">
        <f t="shared" si="1"/>
        <v>6493.8</v>
      </c>
      <c r="J19" s="28">
        <f t="shared" si="1"/>
        <v>8370.6</v>
      </c>
      <c r="K19" s="28">
        <f t="shared" si="1"/>
        <v>9778.2000000000007</v>
      </c>
      <c r="L19" s="28">
        <f t="shared" si="1"/>
        <v>7137.8</v>
      </c>
      <c r="M19" s="28">
        <f t="shared" si="1"/>
        <v>10229</v>
      </c>
      <c r="N19" s="28">
        <f t="shared" si="1"/>
        <v>9713.8000000000011</v>
      </c>
      <c r="O19" s="5"/>
      <c r="P19" s="42">
        <f>SUM(C19:N19)</f>
        <v>104292.80000000002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>
        <v>5252.56</v>
      </c>
      <c r="D22" s="10">
        <v>5252.56</v>
      </c>
      <c r="E22" s="10">
        <v>5252.56</v>
      </c>
      <c r="F22" s="10">
        <v>5252.56</v>
      </c>
      <c r="G22" s="10">
        <v>5252.56</v>
      </c>
      <c r="H22" s="10">
        <v>5252.56</v>
      </c>
      <c r="I22" s="10">
        <v>5252.56</v>
      </c>
      <c r="J22" s="10">
        <v>5252.56</v>
      </c>
      <c r="K22" s="10">
        <v>5252.56</v>
      </c>
      <c r="L22" s="10">
        <v>5252.56</v>
      </c>
      <c r="M22" s="10">
        <v>5252.56</v>
      </c>
      <c r="N22" s="10">
        <v>5156.75</v>
      </c>
      <c r="O22" s="4"/>
      <c r="P22" s="43">
        <f>SUM(C22:N22)</f>
        <v>62934.909999999996</v>
      </c>
    </row>
    <row r="23" spans="2:16" x14ac:dyDescent="0.45">
      <c r="B23" s="9" t="s">
        <v>8</v>
      </c>
      <c r="C23" s="10">
        <f>1085.74+1838.06</f>
        <v>2923.8</v>
      </c>
      <c r="D23" s="10">
        <f>1085.74+1843.31</f>
        <v>2929.05</v>
      </c>
      <c r="E23" s="10">
        <f>1085.74+1838.06</f>
        <v>2923.8</v>
      </c>
      <c r="F23" s="10">
        <f>1085.74+1848.59</f>
        <v>2934.33</v>
      </c>
      <c r="G23" s="10">
        <f>1085.74+1845.95</f>
        <v>2931.69</v>
      </c>
      <c r="H23" s="10">
        <f>1085.74+1842.02</f>
        <v>2927.76</v>
      </c>
      <c r="I23" s="10">
        <f>1085.74+1849.91</f>
        <v>2935.65</v>
      </c>
      <c r="J23" s="10">
        <f>1085.74+1855.16</f>
        <v>2940.9</v>
      </c>
      <c r="K23" s="10">
        <f>1085.74+1849.91</f>
        <v>2935.65</v>
      </c>
      <c r="L23" s="10">
        <f>1085.74+1839.38</f>
        <v>2925.12</v>
      </c>
      <c r="M23" s="10">
        <f>1085.74+1860.42</f>
        <v>2946.16</v>
      </c>
      <c r="N23" s="10">
        <f>1074.63+1810.96</f>
        <v>2885.59</v>
      </c>
      <c r="O23" s="4"/>
      <c r="P23" s="43">
        <f>SUM(C23:N23)</f>
        <v>35139.5</v>
      </c>
    </row>
    <row r="24" spans="2:16" x14ac:dyDescent="0.45">
      <c r="B24" s="55" t="s">
        <v>40</v>
      </c>
      <c r="C24" s="56">
        <v>358.4</v>
      </c>
      <c r="D24" s="56">
        <v>358.4</v>
      </c>
      <c r="E24" s="56">
        <v>345.48</v>
      </c>
      <c r="F24" s="56">
        <v>331.2</v>
      </c>
      <c r="G24" s="56">
        <v>358.4</v>
      </c>
      <c r="H24" s="56">
        <v>344.8</v>
      </c>
      <c r="I24" s="56">
        <v>290.39999999999998</v>
      </c>
      <c r="J24" s="56">
        <v>344.8</v>
      </c>
      <c r="K24" s="56">
        <v>385.6</v>
      </c>
      <c r="L24" s="56">
        <v>290.39999999999998</v>
      </c>
      <c r="M24" s="56">
        <v>372</v>
      </c>
      <c r="N24" s="56">
        <v>528.52</v>
      </c>
      <c r="O24" s="4"/>
      <c r="P24" s="43">
        <f>SUM(C24:N24)</f>
        <v>4308.4000000000005</v>
      </c>
    </row>
    <row r="25" spans="2:16" x14ac:dyDescent="0.45">
      <c r="B25" s="8" t="s">
        <v>3</v>
      </c>
      <c r="C25" s="44">
        <f t="shared" ref="C25:N25" si="2">SUM(C22:C24)</f>
        <v>8534.76</v>
      </c>
      <c r="D25" s="44">
        <f t="shared" si="2"/>
        <v>8540.01</v>
      </c>
      <c r="E25" s="44">
        <f t="shared" si="2"/>
        <v>8521.84</v>
      </c>
      <c r="F25" s="44">
        <f t="shared" si="2"/>
        <v>8518.09</v>
      </c>
      <c r="G25" s="44">
        <f t="shared" si="2"/>
        <v>8542.65</v>
      </c>
      <c r="H25" s="44">
        <f t="shared" si="2"/>
        <v>8525.1200000000008</v>
      </c>
      <c r="I25" s="44">
        <f t="shared" si="2"/>
        <v>8478.61</v>
      </c>
      <c r="J25" s="44">
        <f t="shared" si="2"/>
        <v>8538.26</v>
      </c>
      <c r="K25" s="44">
        <f t="shared" si="2"/>
        <v>8573.8100000000013</v>
      </c>
      <c r="L25" s="44">
        <f t="shared" si="2"/>
        <v>8468.08</v>
      </c>
      <c r="M25" s="44">
        <f t="shared" si="2"/>
        <v>8570.7200000000012</v>
      </c>
      <c r="N25" s="44">
        <f t="shared" si="2"/>
        <v>8570.86</v>
      </c>
      <c r="O25" s="4"/>
      <c r="P25" s="61">
        <f>SUM(C25:N25)</f>
        <v>102382.81</v>
      </c>
    </row>
    <row r="26" spans="2:16" x14ac:dyDescent="0.45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45">
      <c r="B27" s="46" t="s">
        <v>36</v>
      </c>
      <c r="C27" s="47">
        <f t="shared" ref="C27:N27" si="3">C19-C25</f>
        <v>774.23999999999978</v>
      </c>
      <c r="D27" s="47">
        <f t="shared" si="3"/>
        <v>768.98999999999978</v>
      </c>
      <c r="E27" s="47">
        <f t="shared" si="3"/>
        <v>317.96000000000095</v>
      </c>
      <c r="F27" s="47">
        <f t="shared" si="3"/>
        <v>-616.6899999999996</v>
      </c>
      <c r="G27" s="47">
        <f t="shared" si="3"/>
        <v>297.15000000000146</v>
      </c>
      <c r="H27" s="47">
        <f t="shared" si="3"/>
        <v>-154.52000000000044</v>
      </c>
      <c r="I27" s="47">
        <f t="shared" si="3"/>
        <v>-1984.8100000000004</v>
      </c>
      <c r="J27" s="47">
        <f t="shared" si="3"/>
        <v>-167.65999999999985</v>
      </c>
      <c r="K27" s="47">
        <f t="shared" si="3"/>
        <v>1204.3899999999994</v>
      </c>
      <c r="L27" s="47">
        <f t="shared" si="3"/>
        <v>-1330.2799999999997</v>
      </c>
      <c r="M27" s="47">
        <f t="shared" si="3"/>
        <v>1658.2799999999988</v>
      </c>
      <c r="N27" s="47">
        <f t="shared" si="3"/>
        <v>1142.9400000000005</v>
      </c>
      <c r="P27" s="60">
        <f>SUM(C27:N27)</f>
        <v>1909.9900000000007</v>
      </c>
    </row>
    <row r="29" spans="2:16" x14ac:dyDescent="0.45">
      <c r="B29" s="63" t="s">
        <v>37</v>
      </c>
      <c r="C29" s="54">
        <v>800</v>
      </c>
      <c r="D29" s="54">
        <v>800</v>
      </c>
      <c r="E29" s="54">
        <v>760</v>
      </c>
      <c r="F29" s="54">
        <v>680</v>
      </c>
      <c r="G29" s="54">
        <v>760</v>
      </c>
      <c r="H29" s="54">
        <v>720</v>
      </c>
      <c r="I29" s="54">
        <v>560</v>
      </c>
      <c r="J29" s="54">
        <v>720</v>
      </c>
      <c r="K29" s="54">
        <v>840</v>
      </c>
      <c r="L29" s="54">
        <v>560</v>
      </c>
      <c r="M29" s="54">
        <v>800</v>
      </c>
      <c r="N29" s="54">
        <v>760</v>
      </c>
      <c r="P29" s="62">
        <f>SUM(C29:N29)</f>
        <v>8760</v>
      </c>
    </row>
    <row r="30" spans="2:16" x14ac:dyDescent="0.45">
      <c r="B30" s="63" t="s">
        <v>38</v>
      </c>
      <c r="C30" s="54">
        <v>358.4</v>
      </c>
      <c r="D30" s="54">
        <v>358.4</v>
      </c>
      <c r="E30" s="54">
        <v>345.48</v>
      </c>
      <c r="F30" s="54">
        <v>331.2</v>
      </c>
      <c r="G30" s="54">
        <v>358.4</v>
      </c>
      <c r="H30" s="54">
        <v>344.8</v>
      </c>
      <c r="I30" s="54">
        <v>290.39999999999998</v>
      </c>
      <c r="J30" s="54">
        <v>344.8</v>
      </c>
      <c r="K30" s="54">
        <v>385.6</v>
      </c>
      <c r="L30" s="54">
        <v>290.39999999999998</v>
      </c>
      <c r="M30" s="54">
        <v>372</v>
      </c>
      <c r="N30" s="54">
        <v>258.39999999999998</v>
      </c>
      <c r="P30" s="62">
        <f>SUM(C30:N30)</f>
        <v>4038.2800000000007</v>
      </c>
    </row>
    <row r="32" spans="2:16" x14ac:dyDescent="0.45">
      <c r="N32" s="54" t="s">
        <v>43</v>
      </c>
      <c r="P32" s="62">
        <f>(P29*0.34)+1330</f>
        <v>4308.3999999999996</v>
      </c>
    </row>
    <row r="33" spans="14:16" x14ac:dyDescent="0.45">
      <c r="N33" s="54" t="s">
        <v>44</v>
      </c>
      <c r="P33" s="62">
        <f>P32-P30</f>
        <v>270.11999999999898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9EAE6-4948-4FCA-A4A6-52448940FB79}">
  <dimension ref="B1:P30"/>
  <sheetViews>
    <sheetView topLeftCell="A2" workbookViewId="0">
      <selection activeCell="D18" sqref="D18"/>
    </sheetView>
  </sheetViews>
  <sheetFormatPr baseColWidth="10" defaultRowHeight="14.25" x14ac:dyDescent="0.45"/>
  <cols>
    <col min="1" max="1" width="3" customWidth="1"/>
    <col min="2" max="2" width="28" customWidth="1"/>
    <col min="14" max="14" width="18.73046875" bestFit="1" customWidth="1"/>
    <col min="15" max="15" width="4" customWidth="1"/>
    <col min="16" max="16" width="11" style="48" customWidth="1"/>
  </cols>
  <sheetData>
    <row r="1" spans="2:16" x14ac:dyDescent="0.45">
      <c r="B1" s="65" t="s">
        <v>9</v>
      </c>
    </row>
    <row r="2" spans="2:16" x14ac:dyDescent="0.45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>
        <v>19</v>
      </c>
      <c r="D6" s="35">
        <v>19</v>
      </c>
      <c r="E6" s="35"/>
      <c r="F6" s="37"/>
      <c r="G6" s="37"/>
      <c r="H6" s="37"/>
      <c r="I6" s="37"/>
      <c r="J6" s="37"/>
      <c r="K6" s="37"/>
      <c r="L6" s="37"/>
      <c r="M6" s="37"/>
      <c r="N6" s="37"/>
      <c r="O6" s="36"/>
      <c r="P6" s="58">
        <f>SUM(C6:N6)</f>
        <v>38</v>
      </c>
    </row>
    <row r="7" spans="2:16" x14ac:dyDescent="0.45">
      <c r="B7" s="9" t="s">
        <v>21</v>
      </c>
      <c r="C7" s="37">
        <v>17</v>
      </c>
      <c r="D7" s="37">
        <v>21</v>
      </c>
      <c r="E7" s="37"/>
      <c r="F7" s="37"/>
      <c r="G7" s="37"/>
      <c r="H7" s="37"/>
      <c r="I7" s="37"/>
      <c r="J7" s="37"/>
      <c r="K7" s="37"/>
      <c r="L7" s="37"/>
      <c r="M7" s="37"/>
      <c r="N7" s="37"/>
      <c r="O7" s="36"/>
      <c r="P7" s="58">
        <f>SUM(C7:N7)</f>
        <v>38</v>
      </c>
    </row>
    <row r="8" spans="2:16" x14ac:dyDescent="0.45">
      <c r="B8" s="18" t="s">
        <v>22</v>
      </c>
      <c r="C8" s="64">
        <f t="shared" ref="C8:N8" si="0">C7-C6</f>
        <v>-2</v>
      </c>
      <c r="D8" s="64">
        <f t="shared" si="0"/>
        <v>2</v>
      </c>
      <c r="E8" s="64">
        <f t="shared" si="0"/>
        <v>0</v>
      </c>
      <c r="F8" s="64">
        <f t="shared" si="0"/>
        <v>0</v>
      </c>
      <c r="G8" s="64">
        <f t="shared" si="0"/>
        <v>0</v>
      </c>
      <c r="H8" s="64">
        <f t="shared" si="0"/>
        <v>0</v>
      </c>
      <c r="I8" s="64">
        <f t="shared" si="0"/>
        <v>0</v>
      </c>
      <c r="J8" s="64">
        <f t="shared" si="0"/>
        <v>0</v>
      </c>
      <c r="K8" s="64">
        <f t="shared" si="0"/>
        <v>0</v>
      </c>
      <c r="L8" s="64">
        <f t="shared" si="0"/>
        <v>0</v>
      </c>
      <c r="M8" s="64">
        <f t="shared" si="0"/>
        <v>0</v>
      </c>
      <c r="N8" s="64">
        <f t="shared" si="0"/>
        <v>0</v>
      </c>
      <c r="O8" s="36"/>
      <c r="P8" s="58">
        <f>SUM(C8:N8)</f>
        <v>0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>
        <v>17</v>
      </c>
      <c r="D11" s="11">
        <v>21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  <c r="P11" s="59">
        <f>SUM(C11:N11)</f>
        <v>38</v>
      </c>
    </row>
    <row r="12" spans="2:16" x14ac:dyDescent="0.45">
      <c r="B12" s="9" t="s">
        <v>16</v>
      </c>
      <c r="C12" s="12">
        <v>5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9">
        <f>SUM(C12:N12)</f>
        <v>5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9">
        <f>SUM(C14:N14)</f>
        <v>0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>
        <f>C11*Params!$C$6*(1-Params!$C$3)-Params!$C$4</f>
        <v>8683.4</v>
      </c>
      <c r="D17" s="10">
        <f>D11*Params!C6*(1-Params!$C$3)-Params!$C$4</f>
        <v>10744.2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4"/>
      <c r="P17" s="41">
        <f>SUM(C17:N17)</f>
        <v>19427.599999999999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45">
      <c r="B19" s="27" t="s">
        <v>2</v>
      </c>
      <c r="C19" s="28">
        <f t="shared" ref="C19:N19" si="1">SUM(C17:C18)</f>
        <v>8683.4</v>
      </c>
      <c r="D19" s="28">
        <f t="shared" si="1"/>
        <v>10744.2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SUM(C19:N19)</f>
        <v>19427.599999999999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>
        <v>5243.57</v>
      </c>
      <c r="D22" s="10">
        <v>5581.84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4"/>
      <c r="P22" s="43">
        <f>SUM(C22:N22)</f>
        <v>10825.41</v>
      </c>
    </row>
    <row r="23" spans="2:16" x14ac:dyDescent="0.45">
      <c r="B23" s="9" t="s">
        <v>8</v>
      </c>
      <c r="C23" s="10">
        <f>1099.29+1858.65</f>
        <v>2957.94</v>
      </c>
      <c r="D23" s="10">
        <f>1164.3+1985.76</f>
        <v>3150.06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4"/>
      <c r="P23" s="43">
        <f>SUM(C23:N23)</f>
        <v>6108</v>
      </c>
    </row>
    <row r="24" spans="2:16" x14ac:dyDescent="0.45">
      <c r="B24" s="55" t="s">
        <v>40</v>
      </c>
      <c r="C24" s="56">
        <v>331.2</v>
      </c>
      <c r="D24" s="56">
        <v>385.6</v>
      </c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4"/>
      <c r="P24" s="43">
        <f>SUM(C24:N24)</f>
        <v>716.8</v>
      </c>
    </row>
    <row r="25" spans="2:16" x14ac:dyDescent="0.45">
      <c r="B25" s="8" t="s">
        <v>3</v>
      </c>
      <c r="C25" s="44">
        <f t="shared" ref="C25:N25" si="2">SUM(C22:C24)</f>
        <v>8532.7100000000009</v>
      </c>
      <c r="D25" s="44">
        <f t="shared" si="2"/>
        <v>9117.5</v>
      </c>
      <c r="E25" s="44">
        <f t="shared" si="2"/>
        <v>0</v>
      </c>
      <c r="F25" s="44">
        <f t="shared" si="2"/>
        <v>0</v>
      </c>
      <c r="G25" s="44">
        <f t="shared" si="2"/>
        <v>0</v>
      </c>
      <c r="H25" s="44">
        <f t="shared" si="2"/>
        <v>0</v>
      </c>
      <c r="I25" s="44">
        <f t="shared" si="2"/>
        <v>0</v>
      </c>
      <c r="J25" s="44">
        <f t="shared" si="2"/>
        <v>0</v>
      </c>
      <c r="K25" s="44">
        <f t="shared" si="2"/>
        <v>0</v>
      </c>
      <c r="L25" s="44">
        <f t="shared" si="2"/>
        <v>0</v>
      </c>
      <c r="M25" s="44">
        <f t="shared" si="2"/>
        <v>0</v>
      </c>
      <c r="N25" s="44">
        <f t="shared" si="2"/>
        <v>0</v>
      </c>
      <c r="O25" s="4"/>
      <c r="P25" s="61">
        <f>SUM(C25:N25)</f>
        <v>17650.21</v>
      </c>
    </row>
    <row r="26" spans="2:16" x14ac:dyDescent="0.45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45">
      <c r="B27" s="46" t="s">
        <v>36</v>
      </c>
      <c r="C27" s="47">
        <f t="shared" ref="C27:N27" si="3">C19-C25</f>
        <v>150.68999999999869</v>
      </c>
      <c r="D27" s="47">
        <f t="shared" si="3"/>
        <v>1626.7000000000007</v>
      </c>
      <c r="E27" s="47">
        <f t="shared" si="3"/>
        <v>0</v>
      </c>
      <c r="F27" s="47">
        <f t="shared" si="3"/>
        <v>0</v>
      </c>
      <c r="G27" s="47">
        <f t="shared" si="3"/>
        <v>0</v>
      </c>
      <c r="H27" s="47">
        <f t="shared" si="3"/>
        <v>0</v>
      </c>
      <c r="I27" s="47">
        <f t="shared" si="3"/>
        <v>0</v>
      </c>
      <c r="J27" s="47">
        <f t="shared" si="3"/>
        <v>0</v>
      </c>
      <c r="K27" s="47">
        <f t="shared" si="3"/>
        <v>0</v>
      </c>
      <c r="L27" s="47">
        <f t="shared" si="3"/>
        <v>0</v>
      </c>
      <c r="M27" s="47">
        <f t="shared" si="3"/>
        <v>0</v>
      </c>
      <c r="N27" s="47">
        <f t="shared" si="3"/>
        <v>0</v>
      </c>
      <c r="P27" s="60">
        <f>SUM(C27:N27)</f>
        <v>1777.3899999999994</v>
      </c>
    </row>
    <row r="29" spans="2:16" x14ac:dyDescent="0.45">
      <c r="B29" s="63" t="s">
        <v>37</v>
      </c>
      <c r="C29" s="54">
        <v>680</v>
      </c>
      <c r="D29" s="54">
        <v>840</v>
      </c>
      <c r="E29" s="54"/>
      <c r="F29" s="54"/>
      <c r="G29" s="54"/>
      <c r="H29" s="54"/>
      <c r="I29" s="54"/>
      <c r="J29" s="54"/>
      <c r="K29" s="54"/>
      <c r="L29" s="54"/>
      <c r="M29" s="54"/>
      <c r="N29" s="54"/>
      <c r="P29" s="62">
        <f>SUM(C29:N29)</f>
        <v>1520</v>
      </c>
    </row>
    <row r="30" spans="2:16" x14ac:dyDescent="0.45">
      <c r="B30" s="63" t="s">
        <v>38</v>
      </c>
      <c r="C30" s="54">
        <v>331.2</v>
      </c>
      <c r="D30" s="54">
        <v>385.6</v>
      </c>
      <c r="E30" s="54"/>
      <c r="F30" s="54"/>
      <c r="G30" s="54"/>
      <c r="H30" s="54"/>
      <c r="I30" s="54"/>
      <c r="J30" s="54"/>
      <c r="K30" s="54"/>
      <c r="L30" s="54"/>
      <c r="M30" s="54"/>
      <c r="N30" s="54"/>
      <c r="P30" s="62">
        <f>SUM(C30:N30)</f>
        <v>716.8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6"/>
  <sheetViews>
    <sheetView tabSelected="1" workbookViewId="0">
      <selection activeCell="C6" sqref="C6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7" t="s">
        <v>23</v>
      </c>
      <c r="C2" s="68"/>
    </row>
    <row r="3" spans="2:3" ht="30" customHeight="1" x14ac:dyDescent="0.45">
      <c r="B3" s="33" t="s">
        <v>12</v>
      </c>
      <c r="C3" s="34">
        <v>0.08</v>
      </c>
    </row>
    <row r="4" spans="2:3" ht="30" customHeight="1" x14ac:dyDescent="0.45">
      <c r="B4" s="33" t="s">
        <v>13</v>
      </c>
      <c r="C4" s="33">
        <v>75</v>
      </c>
    </row>
    <row r="5" spans="2:3" ht="30" customHeight="1" x14ac:dyDescent="0.45">
      <c r="B5" s="33" t="s">
        <v>41</v>
      </c>
      <c r="C5" s="33">
        <v>510</v>
      </c>
    </row>
    <row r="6" spans="2:3" ht="24" customHeight="1" x14ac:dyDescent="0.45">
      <c r="B6" s="33" t="s">
        <v>42</v>
      </c>
      <c r="C6" s="33">
        <v>560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5" sqref="C5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9" t="s">
        <v>33</v>
      </c>
      <c r="C2" s="69"/>
    </row>
    <row r="3" spans="2:3" ht="16.899999999999999" customHeight="1" x14ac:dyDescent="0.45">
      <c r="B3" s="38" t="s">
        <v>34</v>
      </c>
      <c r="C3" s="39">
        <f>('2023'!P27)+('2024'!P27)</f>
        <v>3687.38</v>
      </c>
    </row>
    <row r="4" spans="2:3" ht="16.899999999999999" customHeight="1" x14ac:dyDescent="0.45">
      <c r="B4" s="38" t="s">
        <v>39</v>
      </c>
      <c r="C4" s="40">
        <f>'2023'!P12+'2024'!P12</f>
        <v>38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'2023'!FRAIS_KM</vt:lpstr>
      <vt:lpstr>'2024'!FRAIS_KM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'2023'!NOMBRE_KM</vt:lpstr>
      <vt:lpstr>'2024'!NOMBRE_KM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'2023'!SORTIES_FRAIS_KM</vt:lpstr>
      <vt:lpstr>'2024'!SORTIES_FRAIS_KM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2024-03-04T16:23:31Z</dcterms:modified>
</cp:coreProperties>
</file>