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8_{9E1AF2A2-812C-48D7-806A-BF4D4FFD5E61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1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_ASTREINTE" localSheetId="0">'2023'!$B$18</definedName>
    <definedName name="ENTREE_ASTREINTE">#REF!</definedName>
    <definedName name="ENTREES" localSheetId="0">'2023'!$B$16</definedName>
    <definedName name="ENTREES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'2023'!#REF!</definedName>
    <definedName name="FRAIS_KM">#REF!</definedName>
    <definedName name="FRAIS_KM_FIXE" localSheetId="0">'2023'!#REF!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'2023'!#REF!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'2023'!$B$29</definedName>
    <definedName name="SOLDE">#REF!</definedName>
    <definedName name="SORTIES" localSheetId="0">'2023'!$B$21</definedName>
    <definedName name="SORTIES">#REF!</definedName>
    <definedName name="SORTIES_ABONDEMENT_CSG_CRDS" localSheetId="0">'2023'!#REF!</definedName>
    <definedName name="SORTIES_ABONDEMENT_CSG_CRDS">#REF!</definedName>
    <definedName name="SORTIES_ABONDEMENT_NET" localSheetId="0">'2023'!#REF!</definedName>
    <definedName name="SORTIES_ABONDEMENT_NET">#REF!</definedName>
    <definedName name="SORTIES_ACHATS_HT" localSheetId="0">'2023'!#REF!</definedName>
    <definedName name="SORTIES_ACHATS_HT">#REF!</definedName>
    <definedName name="SORTIES_CHARGES_SOCIALES_PATRONALES" localSheetId="0">'2023'!$B$26</definedName>
    <definedName name="SORTIES_CHARGES_SOCIALES_PATRONALES">#REF!</definedName>
    <definedName name="SORTIES_FRAIS_KM" localSheetId="0">'2023'!#REF!</definedName>
    <definedName name="SORTIES_FRAIS_KM">#REF!</definedName>
    <definedName name="SORTIES_FRAIS_PEE_AMUNDI" localSheetId="0">'2023'!$B$25</definedName>
    <definedName name="SORTIES_FRAIS_PEE_AMUNDI">#REF!</definedName>
    <definedName name="SORTIES_I_CSG_CRDS" localSheetId="0">'2023'!#REF!</definedName>
    <definedName name="SORTIES_I_CSG_CRDS">#REF!</definedName>
    <definedName name="SORTIES_INTERESSEMENT_CSG_CRDS" localSheetId="0">'2023'!$B$24</definedName>
    <definedName name="SORTIES_INTERESSEMENT_CSG_CRDS">#REF!</definedName>
    <definedName name="SORTIES_INTERESSEMENT_NET" localSheetId="0">'2023'!$B$23</definedName>
    <definedName name="SORTIES_INTERESSEMENT_NET">#REF!</definedName>
    <definedName name="SORTIES_SALAIRE_NET" localSheetId="0">'2023'!$B$22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'2023'!$B$27</definedName>
    <definedName name="TOTAL_SORTIES">#REF!</definedName>
  </definedNames>
  <calcPr calcId="191029"/>
  <fileRecoveryPr repairLoad="1"/>
</workbook>
</file>

<file path=xl/calcChain.xml><?xml version="1.0" encoding="utf-8"?>
<calcChain xmlns="http://schemas.openxmlformats.org/spreadsheetml/2006/main">
  <c r="N25" i="15" l="1"/>
  <c r="E27" i="15"/>
  <c r="D27" i="15"/>
  <c r="C27" i="15"/>
  <c r="N26" i="15"/>
  <c r="M26" i="15"/>
  <c r="L26" i="15"/>
  <c r="K26" i="15"/>
  <c r="J26" i="15"/>
  <c r="I26" i="15"/>
  <c r="H26" i="15"/>
  <c r="G26" i="15"/>
  <c r="F26" i="15"/>
  <c r="P26" i="15" s="1"/>
  <c r="M25" i="15"/>
  <c r="J25" i="15"/>
  <c r="N24" i="15"/>
  <c r="M24" i="15"/>
  <c r="L24" i="15"/>
  <c r="K24" i="15"/>
  <c r="J24" i="15"/>
  <c r="I24" i="15"/>
  <c r="H24" i="15"/>
  <c r="G24" i="15"/>
  <c r="P24" i="15" s="1"/>
  <c r="F24" i="15"/>
  <c r="N23" i="15"/>
  <c r="N27" i="15" s="1"/>
  <c r="M23" i="15"/>
  <c r="M27" i="15" s="1"/>
  <c r="L23" i="15"/>
  <c r="L25" i="15" s="1"/>
  <c r="K23" i="15"/>
  <c r="K25" i="15" s="1"/>
  <c r="J23" i="15"/>
  <c r="J27" i="15" s="1"/>
  <c r="I23" i="15"/>
  <c r="I25" i="15" s="1"/>
  <c r="H23" i="15"/>
  <c r="H25" i="15" s="1"/>
  <c r="G23" i="15"/>
  <c r="G25" i="15" s="1"/>
  <c r="F23" i="15"/>
  <c r="P22" i="15"/>
  <c r="L19" i="15"/>
  <c r="E19" i="15"/>
  <c r="E29" i="15" s="1"/>
  <c r="D19" i="15"/>
  <c r="C19" i="15"/>
  <c r="C29" i="15" s="1"/>
  <c r="P18" i="15"/>
  <c r="N17" i="15"/>
  <c r="N19" i="15" s="1"/>
  <c r="M17" i="15"/>
  <c r="M19" i="15" s="1"/>
  <c r="L17" i="15"/>
  <c r="K17" i="15"/>
  <c r="K19" i="15" s="1"/>
  <c r="J17" i="15"/>
  <c r="J19" i="15" s="1"/>
  <c r="J29" i="15" s="1"/>
  <c r="I17" i="15"/>
  <c r="I19" i="15" s="1"/>
  <c r="H17" i="15"/>
  <c r="H19" i="15" s="1"/>
  <c r="G17" i="15"/>
  <c r="G19" i="15" s="1"/>
  <c r="F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M29" i="15" l="1"/>
  <c r="N29" i="15"/>
  <c r="H29" i="15"/>
  <c r="F25" i="15"/>
  <c r="P25" i="15" s="1"/>
  <c r="H27" i="15"/>
  <c r="F19" i="15"/>
  <c r="P19" i="15" s="1"/>
  <c r="I27" i="15"/>
  <c r="I29" i="15" s="1"/>
  <c r="D29" i="15"/>
  <c r="G27" i="15"/>
  <c r="G29" i="15" s="1"/>
  <c r="K27" i="15"/>
  <c r="K29" i="15" s="1"/>
  <c r="L27" i="15"/>
  <c r="L29" i="15" s="1"/>
  <c r="P23" i="15"/>
  <c r="F27" i="15" l="1"/>
  <c r="P27" i="15" s="1"/>
  <c r="F29" i="15"/>
  <c r="P29" i="15" s="1"/>
  <c r="C3" i="13" s="1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<sst xmlns="http://schemas.openxmlformats.org/spreadsheetml/2006/main" count="44" uniqueCount="43">
  <si>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</si>
  <si>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</si>
  <si>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</si>
  <si>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</si>
  <si>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</si>
  <si>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</si>
  <si>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</si>
  <si>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</si>
  <si>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</si>
  <si>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</si>
  <si>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</si>
  <si>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</si>
  <si>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</si>
  <si>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</si>
  <si>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</si>
  <si>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</si>
  <si>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</si>
  <si>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</si>
  <si>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</si>
  <si>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</si>
  <si>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</si>
  <si>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</si>
  <si>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</si>
  <si>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</si>
  <si>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</si>
  <si>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</si>
  <si>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</si>
  <si>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</si>
  <si>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</si>
  <si>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</si>
  <si>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</si>
  <si>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</si>
  <si>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</si>
  <si>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</si>
  <si>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</si>
  <si>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</si>
  <si>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</si>
  <si>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</si>
  <si>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Intéressement Net</t>
  </si>
  <si>
    <t>CSG/CRDS Intéressement</t>
  </si>
  <si>
    <t>Total Congés Payés Pris</t>
  </si>
  <si>
    <t>TJM (Avril 2023)</t>
  </si>
  <si>
    <t>TJM (Octobre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</si>
</sst>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" fillId="0" borderId="4" xfId="0" applyFont="1" applyBorder="1"/>
    <xf numFmtId="4" fontId="1" fillId="0" borderId="4" xfId="0" applyNumberFormat="1" applyFont="1" applyBorder="1"/>
    <xf numFmtId="0" fontId="1" fillId="6" borderId="5" xfId="0" applyFont="1" applyFill="1" applyBorder="1"/>
    <xf numFmtId="0" fontId="0" fillId="6" borderId="4" xfId="0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5" xfId="0" applyFont="1" applyFill="1" applyBorder="1"/>
    <xf numFmtId="0" fontId="0" fillId="8" borderId="4" xfId="0" applyFill="1" applyBorder="1"/>
    <xf numFmtId="0" fontId="0" fillId="8" borderId="13" xfId="0" applyFill="1" applyBorder="1"/>
    <xf numFmtId="4" fontId="5" fillId="4" borderId="8" xfId="0" applyNumberFormat="1" applyFont="1" applyFill="1" applyBorder="1"/>
    <xf numFmtId="0" fontId="0" fillId="6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0" borderId="1" xfId="0" applyFont="1" applyFill="1" applyBorder="1" applyAlignment="1">
      <alignment vertical="center"/>
    </xf>
    <xf numFmtId="9" fontId="1" fillId="10" borderId="1" xfId="1" applyFont="1" applyFill="1" applyBorder="1" applyAlignment="1">
      <alignment vertical="center"/>
    </xf>
    <xf numFmtId="0" fontId="1" fillId="5" borderId="1" xfId="0" applyFont="1" applyFill="1" applyBorder="1"/>
    <xf numFmtId="4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2" borderId="1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/>
    </xf>
    <xf numFmtId="4" fontId="13" fillId="12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4" fillId="0" borderId="0" xfId="0" applyNumberFormat="1" applyFont="1"/>
    <xf numFmtId="4" fontId="15" fillId="0" borderId="1" xfId="0" applyNumberFormat="1" applyFont="1" applyBorder="1" applyAlignment="1">
      <alignment horizontal="right"/>
    </xf>
    <xf numFmtId="0" fontId="14" fillId="0" borderId="0" xfId="0" applyFont="1"/>
    <xf numFmtId="4" fontId="16" fillId="4" borderId="6" xfId="0" applyNumberFormat="1" applyFont="1" applyFill="1" applyBorder="1"/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1"/>
  <sheetViews>
    <sheetView tabSelected="1" topLeftCell="B1" workbookViewId="0">
      <selection activeCell="N25" sqref="N25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57" customWidth="1"/>
    <col min="17" max="17" width="11" customWidth="1"/>
  </cols>
  <sheetData>
    <row r="1" spans="2:16" x14ac:dyDescent="0.45">
      <c r="B1" s="79" t="s">
        <v>9</v>
      </c>
      <c r="P1" s="52"/>
    </row>
    <row r="2" spans="2:16" x14ac:dyDescent="0.45">
      <c r="B2" s="8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3"/>
    </row>
    <row r="3" spans="2:16" ht="16.5" customHeight="1" x14ac:dyDescent="0.45">
      <c r="B3" s="21" t="s">
        <v>5</v>
      </c>
      <c r="C3" s="22" t="s">
        <v>16</v>
      </c>
      <c r="D3" s="22" t="s">
        <v>17</v>
      </c>
      <c r="E3" s="22" t="s">
        <v>18</v>
      </c>
      <c r="F3" s="22" t="s">
        <v>19</v>
      </c>
      <c r="G3" s="22" t="s">
        <v>10</v>
      </c>
      <c r="H3" s="22" t="s">
        <v>11</v>
      </c>
      <c r="I3" s="22" t="s">
        <v>12</v>
      </c>
      <c r="J3" s="22" t="s">
        <v>20</v>
      </c>
      <c r="K3" s="22" t="s">
        <v>13</v>
      </c>
      <c r="L3" s="22" t="s">
        <v>14</v>
      </c>
      <c r="M3" s="22" t="s">
        <v>15</v>
      </c>
      <c r="N3" s="22" t="s">
        <v>21</v>
      </c>
      <c r="O3" s="1"/>
      <c r="P3" s="54" t="s">
        <v>4</v>
      </c>
    </row>
    <row r="4" spans="2:16" ht="16.5" customHeight="1" x14ac:dyDescent="0.4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"/>
      <c r="P4" s="55"/>
    </row>
    <row r="5" spans="2:16" ht="15" customHeight="1" x14ac:dyDescent="0.45">
      <c r="B5" s="24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1"/>
      <c r="P5" s="56"/>
    </row>
    <row r="6" spans="2:16" ht="15" customHeight="1" x14ac:dyDescent="0.45">
      <c r="B6" s="10" t="s">
        <v>29</v>
      </c>
      <c r="C6" s="11"/>
      <c r="D6" s="11"/>
      <c r="E6" s="11"/>
      <c r="F6" s="11">
        <v>19</v>
      </c>
      <c r="G6" s="11">
        <v>19</v>
      </c>
      <c r="H6" s="11">
        <v>19</v>
      </c>
      <c r="I6" s="11">
        <v>19</v>
      </c>
      <c r="J6" s="11">
        <v>19</v>
      </c>
      <c r="K6" s="11">
        <v>19</v>
      </c>
      <c r="L6" s="11">
        <v>19</v>
      </c>
      <c r="M6" s="11">
        <v>19</v>
      </c>
      <c r="N6" s="69">
        <v>0</v>
      </c>
      <c r="O6" s="51"/>
      <c r="P6" s="76">
        <f>SUM(C6:N6)</f>
        <v>152</v>
      </c>
    </row>
    <row r="7" spans="2:16" ht="15" customHeight="1" x14ac:dyDescent="0.45">
      <c r="B7" s="10" t="s">
        <v>30</v>
      </c>
      <c r="C7" s="11"/>
      <c r="D7" s="11"/>
      <c r="E7" s="11"/>
      <c r="F7" s="11">
        <v>13</v>
      </c>
      <c r="G7" s="11">
        <v>18</v>
      </c>
      <c r="H7" s="11">
        <v>20</v>
      </c>
      <c r="I7" s="11">
        <v>11</v>
      </c>
      <c r="J7" s="11">
        <v>16</v>
      </c>
      <c r="K7" s="11">
        <v>17</v>
      </c>
      <c r="L7" s="11">
        <v>17</v>
      </c>
      <c r="M7" s="11">
        <v>19</v>
      </c>
      <c r="N7" s="11">
        <v>19</v>
      </c>
      <c r="O7" s="51"/>
      <c r="P7" s="76">
        <f>SUM(C7:N7)</f>
        <v>150</v>
      </c>
    </row>
    <row r="8" spans="2:16" ht="15" customHeight="1" x14ac:dyDescent="0.45">
      <c r="B8" s="15" t="s">
        <v>31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-6</v>
      </c>
      <c r="G8" s="63">
        <f t="shared" si="0"/>
        <v>-1</v>
      </c>
      <c r="H8" s="63">
        <f t="shared" si="0"/>
        <v>1</v>
      </c>
      <c r="I8" s="63">
        <f t="shared" si="0"/>
        <v>-8</v>
      </c>
      <c r="J8" s="63">
        <f t="shared" si="0"/>
        <v>-3</v>
      </c>
      <c r="K8" s="63">
        <f t="shared" si="0"/>
        <v>-2</v>
      </c>
      <c r="L8" s="63">
        <f t="shared" si="0"/>
        <v>-2</v>
      </c>
      <c r="M8" s="63">
        <f t="shared" si="0"/>
        <v>0</v>
      </c>
      <c r="N8" s="63">
        <f t="shared" si="0"/>
        <v>19</v>
      </c>
      <c r="O8" s="51"/>
      <c r="P8" s="76">
        <f>SUM(C8:N8)</f>
        <v>-2</v>
      </c>
    </row>
    <row r="9" spans="2:16" ht="15" customHeight="1" x14ac:dyDescent="0.45">
      <c r="B9" s="2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"/>
      <c r="P9" s="77"/>
    </row>
    <row r="10" spans="2:16" ht="15" customHeight="1" x14ac:dyDescent="0.45">
      <c r="B10" s="19" t="s">
        <v>26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8"/>
      <c r="O10" s="1"/>
      <c r="P10" s="41"/>
    </row>
    <row r="11" spans="2:16" ht="15" customHeight="1" x14ac:dyDescent="0.45">
      <c r="B11" s="16" t="s">
        <v>22</v>
      </c>
      <c r="C11" s="58"/>
      <c r="D11" s="58"/>
      <c r="E11" s="58"/>
      <c r="F11" s="58">
        <v>13</v>
      </c>
      <c r="G11" s="58">
        <v>18</v>
      </c>
      <c r="H11" s="58">
        <v>20</v>
      </c>
      <c r="I11" s="58">
        <v>11</v>
      </c>
      <c r="J11" s="58">
        <v>16</v>
      </c>
      <c r="K11" s="58">
        <v>17</v>
      </c>
      <c r="L11" s="58">
        <v>17</v>
      </c>
      <c r="M11" s="58">
        <v>19</v>
      </c>
      <c r="N11" s="58">
        <v>19</v>
      </c>
      <c r="P11" s="76">
        <f>SUM(C11:N11)</f>
        <v>150</v>
      </c>
    </row>
    <row r="12" spans="2:16" ht="15" customHeight="1" x14ac:dyDescent="0.45">
      <c r="B12" s="10" t="s">
        <v>24</v>
      </c>
      <c r="C12" s="59"/>
      <c r="D12" s="59"/>
      <c r="E12" s="59"/>
      <c r="F12" s="59">
        <v>6</v>
      </c>
      <c r="G12" s="59">
        <v>1</v>
      </c>
      <c r="H12" s="59">
        <v>2</v>
      </c>
      <c r="I12" s="59">
        <v>9</v>
      </c>
      <c r="J12" s="59">
        <v>0</v>
      </c>
      <c r="K12" s="59">
        <v>0</v>
      </c>
      <c r="L12" s="59">
        <v>0</v>
      </c>
      <c r="M12" s="59">
        <v>2</v>
      </c>
      <c r="N12" s="59">
        <v>0</v>
      </c>
      <c r="P12" s="76">
        <f>SUM(C12:N12)</f>
        <v>20</v>
      </c>
    </row>
    <row r="13" spans="2:16" ht="15" customHeight="1" x14ac:dyDescent="0.45">
      <c r="B13" s="10" t="s">
        <v>25</v>
      </c>
      <c r="C13" s="60"/>
      <c r="D13" s="59"/>
      <c r="E13" s="59"/>
      <c r="F13" s="59"/>
      <c r="G13" s="59"/>
      <c r="H13" s="59"/>
      <c r="I13" s="59"/>
      <c r="J13" s="59">
        <v>6</v>
      </c>
      <c r="K13" s="59">
        <v>10</v>
      </c>
      <c r="L13" s="59">
        <v>5</v>
      </c>
      <c r="M13" s="59"/>
      <c r="N13" s="59">
        <v>1</v>
      </c>
      <c r="P13" s="76">
        <f>SUM(C13:N13)</f>
        <v>22</v>
      </c>
    </row>
    <row r="14" spans="2:16" ht="15" customHeight="1" x14ac:dyDescent="0.45">
      <c r="B14" s="15" t="s">
        <v>23</v>
      </c>
      <c r="C14" s="61"/>
      <c r="D14" s="62"/>
      <c r="E14" s="62"/>
      <c r="F14" s="62"/>
      <c r="G14" s="62"/>
      <c r="H14" s="65"/>
      <c r="I14" s="62"/>
      <c r="J14" s="62"/>
      <c r="K14" s="62"/>
      <c r="L14" s="65"/>
      <c r="M14" s="62"/>
      <c r="N14" s="62"/>
      <c r="P14" s="76">
        <f>SUM(C14:N14)</f>
        <v>0</v>
      </c>
    </row>
    <row r="15" spans="2:16" ht="15" customHeight="1" x14ac:dyDescent="0.45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P15" s="42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1"/>
      <c r="P16" s="43"/>
    </row>
    <row r="17" spans="2:18" ht="15" customHeight="1" x14ac:dyDescent="0.45">
      <c r="B17" s="10" t="s">
        <v>6</v>
      </c>
      <c r="C17" s="14"/>
      <c r="D17" s="78"/>
      <c r="E17" s="78"/>
      <c r="F17" s="78">
        <f>F11*Params!$C$5*(1-Params!$C$3)-Params!$C$4</f>
        <v>6622.6</v>
      </c>
      <c r="G17" s="78">
        <f>G11*Params!$C$5*(1-Params!$C$3)-Params!$C$4</f>
        <v>9198.6</v>
      </c>
      <c r="H17" s="78">
        <f>H11*Params!$C$5*(1-Params!$C$3)-Params!$C$4</f>
        <v>10229</v>
      </c>
      <c r="I17" s="78">
        <f>I11*Params!$C$5*(1-Params!$C$3)-Params!$C$4</f>
        <v>5592.2</v>
      </c>
      <c r="J17" s="78">
        <f>J11*Params!$C$5*(1-Params!$C$3)-Params!$C$4</f>
        <v>8168.2000000000007</v>
      </c>
      <c r="K17" s="78">
        <f>K11*Params!$C$5*(1-Params!$C$3)-Params!$C$4</f>
        <v>8683.4</v>
      </c>
      <c r="L17" s="78">
        <f>L11*Params!$C$6*(1-Params!$C$3)-Params!$C$4</f>
        <v>8839.8000000000011</v>
      </c>
      <c r="M17" s="78">
        <f>M11*Params!$C$6*(1-Params!$C$3)-Params!$C$4</f>
        <v>9888.6</v>
      </c>
      <c r="N17" s="78">
        <f>N11*Params!$C$6*(1-Params!$C$3)-Params!$C$4</f>
        <v>9888.6</v>
      </c>
      <c r="O17" s="4"/>
      <c r="P17" s="44">
        <f>SUM(C17:N17)</f>
        <v>77111.000000000015</v>
      </c>
    </row>
    <row r="18" spans="2:18" ht="15" customHeight="1" x14ac:dyDescent="0.45">
      <c r="B18" s="10" t="s">
        <v>23</v>
      </c>
      <c r="C18" s="1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11"/>
      <c r="O18" s="4"/>
      <c r="P18" s="44">
        <f>SUM(C18:N18)</f>
        <v>0</v>
      </c>
    </row>
    <row r="19" spans="2:18" ht="15" customHeight="1" x14ac:dyDescent="0.45">
      <c r="B19" s="2" t="s">
        <v>2</v>
      </c>
      <c r="C19" s="36">
        <f t="shared" ref="C19:N19" si="1">SUM(C17:C18)</f>
        <v>0</v>
      </c>
      <c r="D19" s="36">
        <f t="shared" si="1"/>
        <v>0</v>
      </c>
      <c r="E19" s="36">
        <f t="shared" si="1"/>
        <v>0</v>
      </c>
      <c r="F19" s="36">
        <f t="shared" si="1"/>
        <v>6622.6</v>
      </c>
      <c r="G19" s="36">
        <f t="shared" si="1"/>
        <v>9198.6</v>
      </c>
      <c r="H19" s="36">
        <f t="shared" si="1"/>
        <v>10229</v>
      </c>
      <c r="I19" s="36">
        <f t="shared" si="1"/>
        <v>5592.2</v>
      </c>
      <c r="J19" s="36">
        <f t="shared" si="1"/>
        <v>8168.2000000000007</v>
      </c>
      <c r="K19" s="36">
        <f t="shared" si="1"/>
        <v>8683.4</v>
      </c>
      <c r="L19" s="36">
        <f t="shared" si="1"/>
        <v>8839.8000000000011</v>
      </c>
      <c r="M19" s="36">
        <f t="shared" si="1"/>
        <v>9888.6</v>
      </c>
      <c r="N19" s="36">
        <f t="shared" si="1"/>
        <v>9888.6</v>
      </c>
      <c r="O19" s="5"/>
      <c r="P19" s="45">
        <f>SUM(C19:N19)</f>
        <v>77111.000000000015</v>
      </c>
    </row>
    <row r="20" spans="2:18" ht="15" customHeight="1" x14ac:dyDescent="0.45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5"/>
      <c r="P20" s="46"/>
    </row>
    <row r="21" spans="2:18" ht="15" customHeight="1" x14ac:dyDescent="0.45">
      <c r="B21" s="32" t="s">
        <v>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4"/>
      <c r="P21" s="47"/>
    </row>
    <row r="22" spans="2:18" ht="15" customHeight="1" x14ac:dyDescent="0.45">
      <c r="B22" s="10" t="s">
        <v>7</v>
      </c>
      <c r="C22" s="11"/>
      <c r="D22" s="11"/>
      <c r="E22" s="11"/>
      <c r="F22" s="11">
        <v>5086.21</v>
      </c>
      <c r="G22" s="11">
        <v>5086.21</v>
      </c>
      <c r="H22" s="11">
        <v>5086.21</v>
      </c>
      <c r="I22" s="11">
        <v>5086.21</v>
      </c>
      <c r="J22" s="11">
        <v>4093.76</v>
      </c>
      <c r="K22" s="11">
        <v>5208.8999999999996</v>
      </c>
      <c r="L22" s="11">
        <v>4017.61</v>
      </c>
      <c r="M22" s="11">
        <v>5086.21</v>
      </c>
      <c r="N22" s="11">
        <v>4703.76</v>
      </c>
      <c r="O22" s="4"/>
      <c r="P22" s="44">
        <f t="shared" ref="P22:P27" si="2">SUM(C22:N22)</f>
        <v>43455.08</v>
      </c>
    </row>
    <row r="23" spans="2:18" s="74" customFormat="1" x14ac:dyDescent="0.45">
      <c r="B23" s="71" t="s">
        <v>38</v>
      </c>
      <c r="C23" s="75"/>
      <c r="D23" s="75"/>
      <c r="E23" s="75"/>
      <c r="F23" s="75">
        <f>(5830.99/5)*(1-9.7%)</f>
        <v>1053.0767939999998</v>
      </c>
      <c r="G23" s="75">
        <f>(5830.99/5)*(1-9.7%)</f>
        <v>1053.0767939999998</v>
      </c>
      <c r="H23" s="75">
        <f>(5830.99/5)*(1-9.7%)</f>
        <v>1053.0767939999998</v>
      </c>
      <c r="I23" s="75">
        <f>(5830.99/5)*(1-9.7%)</f>
        <v>1053.0767939999998</v>
      </c>
      <c r="J23" s="75">
        <f>(4621.26/5)*(1-9.7%)</f>
        <v>834.59955600000012</v>
      </c>
      <c r="K23" s="75">
        <f>(3224.25/5)*(1-9.7%)</f>
        <v>582.29955000000007</v>
      </c>
      <c r="L23" s="75">
        <f>(4527.62/5)*(1-9.7%)</f>
        <v>817.68817200000001</v>
      </c>
      <c r="M23" s="75">
        <f>(5830.99/5)*(1-9.7%)</f>
        <v>1053.0767939999998</v>
      </c>
      <c r="N23" s="75">
        <f>(5382.22/5)*(1-9.7%)</f>
        <v>972.02893199999994</v>
      </c>
      <c r="O23" s="72"/>
      <c r="P23" s="73">
        <f t="shared" si="2"/>
        <v>8472.0001799999991</v>
      </c>
    </row>
    <row r="24" spans="2:18" x14ac:dyDescent="0.45">
      <c r="B24" s="12" t="s">
        <v>39</v>
      </c>
      <c r="C24" s="13"/>
      <c r="D24" s="13"/>
      <c r="E24" s="13"/>
      <c r="F24" s="13">
        <f>(5830.99/5)*9.7%</f>
        <v>113.12120599999997</v>
      </c>
      <c r="G24" s="13">
        <f>(5830.99/5)*9.7%</f>
        <v>113.12120599999997</v>
      </c>
      <c r="H24" s="13">
        <f>(5830.99/5)*9.7%</f>
        <v>113.12120599999997</v>
      </c>
      <c r="I24" s="13">
        <f>(5830.99/5)*9.7%</f>
        <v>113.12120599999997</v>
      </c>
      <c r="J24" s="13">
        <f>(4621.26/5)*9.7%</f>
        <v>89.652444000000003</v>
      </c>
      <c r="K24" s="13">
        <f>(3224.25/5)*9.7%</f>
        <v>62.550449999999998</v>
      </c>
      <c r="L24" s="13">
        <f>(4527.62/5)*9.7%</f>
        <v>87.835827999999992</v>
      </c>
      <c r="M24" s="13">
        <f>(5830.99/5)*9.7%</f>
        <v>113.12120599999997</v>
      </c>
      <c r="N24" s="13">
        <f>(5382.22/5)*9.7%</f>
        <v>104.41506799999999</v>
      </c>
      <c r="O24" s="4"/>
      <c r="P24" s="44">
        <f t="shared" si="2"/>
        <v>910.05981999999995</v>
      </c>
    </row>
    <row r="25" spans="2:18" ht="15" customHeight="1" x14ac:dyDescent="0.45">
      <c r="B25" s="64" t="s">
        <v>35</v>
      </c>
      <c r="C25" s="13"/>
      <c r="D25" s="13"/>
      <c r="E25" s="13"/>
      <c r="F25" s="13">
        <f t="shared" ref="F25:N25" si="3">(F23)*0.02</f>
        <v>21.061535879999997</v>
      </c>
      <c r="G25" s="13">
        <f t="shared" si="3"/>
        <v>21.061535879999997</v>
      </c>
      <c r="H25" s="13">
        <f t="shared" si="3"/>
        <v>21.061535879999997</v>
      </c>
      <c r="I25" s="13">
        <f t="shared" si="3"/>
        <v>21.061535879999997</v>
      </c>
      <c r="J25" s="13">
        <f t="shared" si="3"/>
        <v>16.691991120000004</v>
      </c>
      <c r="K25" s="13">
        <f t="shared" si="3"/>
        <v>11.645991000000002</v>
      </c>
      <c r="L25" s="13">
        <f t="shared" si="3"/>
        <v>16.353763440000002</v>
      </c>
      <c r="M25" s="13">
        <f t="shared" si="3"/>
        <v>21.061535879999997</v>
      </c>
      <c r="N25" s="13">
        <f t="shared" si="3"/>
        <v>19.440578639999998</v>
      </c>
      <c r="O25" s="4"/>
      <c r="P25" s="44">
        <f t="shared" si="2"/>
        <v>169.44000360000001</v>
      </c>
    </row>
    <row r="26" spans="2:18" ht="15" customHeight="1" x14ac:dyDescent="0.45">
      <c r="B26" s="10" t="s">
        <v>8</v>
      </c>
      <c r="C26" s="11"/>
      <c r="D26" s="11"/>
      <c r="E26" s="11"/>
      <c r="F26" s="11">
        <f>1078.89+2379.22</f>
        <v>3458.1099999999997</v>
      </c>
      <c r="G26" s="11">
        <f>1078.89+2397.92</f>
        <v>3476.8100000000004</v>
      </c>
      <c r="H26" s="11">
        <f>1078.89+2383.32</f>
        <v>3462.21</v>
      </c>
      <c r="I26" s="11">
        <f>1078.89+2385.93</f>
        <v>3464.8199999999997</v>
      </c>
      <c r="J26" s="11">
        <f>861.61+1918.97</f>
        <v>2780.58</v>
      </c>
      <c r="K26" s="11">
        <f>849.46+1335.06</f>
        <v>2184.52</v>
      </c>
      <c r="L26" s="11">
        <f>844.12+1857.41</f>
        <v>2701.53</v>
      </c>
      <c r="M26" s="11">
        <f>1078.89+2380.68</f>
        <v>3459.5699999999997</v>
      </c>
      <c r="N26" s="11">
        <f>1012.57+2204.63</f>
        <v>3217.2000000000003</v>
      </c>
      <c r="O26" s="4"/>
      <c r="P26" s="44">
        <f t="shared" si="2"/>
        <v>28205.35</v>
      </c>
    </row>
    <row r="27" spans="2:18" ht="15" customHeight="1" x14ac:dyDescent="0.45">
      <c r="B27" s="8" t="s">
        <v>3</v>
      </c>
      <c r="C27" s="9">
        <f t="shared" ref="C27:N27" si="4">SUM(C22:C26)</f>
        <v>0</v>
      </c>
      <c r="D27" s="9">
        <f t="shared" si="4"/>
        <v>0</v>
      </c>
      <c r="E27" s="9">
        <f t="shared" si="4"/>
        <v>0</v>
      </c>
      <c r="F27" s="9">
        <f t="shared" si="4"/>
        <v>9731.5795358799987</v>
      </c>
      <c r="G27" s="9">
        <f t="shared" si="4"/>
        <v>9750.2795358799995</v>
      </c>
      <c r="H27" s="9">
        <f t="shared" si="4"/>
        <v>9735.6795358799991</v>
      </c>
      <c r="I27" s="9">
        <f t="shared" si="4"/>
        <v>9738.2895358799979</v>
      </c>
      <c r="J27" s="9">
        <f t="shared" si="4"/>
        <v>7815.2839911200008</v>
      </c>
      <c r="K27" s="9">
        <f t="shared" si="4"/>
        <v>8049.9159909999998</v>
      </c>
      <c r="L27" s="9">
        <f t="shared" si="4"/>
        <v>7641.0177634400006</v>
      </c>
      <c r="M27" s="9">
        <f t="shared" si="4"/>
        <v>9733.0395358799979</v>
      </c>
      <c r="N27" s="9">
        <f t="shared" si="4"/>
        <v>9016.8445786400007</v>
      </c>
      <c r="O27" s="4"/>
      <c r="P27" s="48">
        <f t="shared" si="2"/>
        <v>81211.930003599991</v>
      </c>
    </row>
    <row r="28" spans="2:18" ht="15" customHeight="1" x14ac:dyDescent="0.4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"/>
      <c r="P28" s="49"/>
    </row>
    <row r="29" spans="2:18" ht="15" customHeight="1" x14ac:dyDescent="0.45">
      <c r="B29" s="39" t="s">
        <v>27</v>
      </c>
      <c r="C29" s="40">
        <f t="shared" ref="C29:N29" si="5">+C19-C27</f>
        <v>0</v>
      </c>
      <c r="D29" s="40">
        <f t="shared" si="5"/>
        <v>0</v>
      </c>
      <c r="E29" s="40">
        <f t="shared" si="5"/>
        <v>0</v>
      </c>
      <c r="F29" s="40">
        <f t="shared" si="5"/>
        <v>-3108.9795358799984</v>
      </c>
      <c r="G29" s="40">
        <f t="shared" si="5"/>
        <v>-551.67953587999909</v>
      </c>
      <c r="H29" s="40">
        <f t="shared" si="5"/>
        <v>493.32046412000091</v>
      </c>
      <c r="I29" s="40">
        <f t="shared" si="5"/>
        <v>-4146.089535879998</v>
      </c>
      <c r="J29" s="40">
        <f t="shared" si="5"/>
        <v>352.91600887999994</v>
      </c>
      <c r="K29" s="40">
        <f t="shared" si="5"/>
        <v>633.48400899999979</v>
      </c>
      <c r="L29" s="40">
        <f t="shared" si="5"/>
        <v>1198.7822365600005</v>
      </c>
      <c r="M29" s="40">
        <f t="shared" si="5"/>
        <v>155.56046412000251</v>
      </c>
      <c r="N29" s="40">
        <f t="shared" si="5"/>
        <v>871.75542135999967</v>
      </c>
      <c r="O29" s="4"/>
      <c r="P29" s="50">
        <f>SUM(C29:N29)</f>
        <v>-4100.9300035999922</v>
      </c>
    </row>
    <row r="30" spans="2:18" ht="15" customHeight="1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0"/>
    </row>
    <row r="31" spans="2:18" ht="15" customHeight="1" x14ac:dyDescent="0.45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1" t="s">
        <v>34</v>
      </c>
      <c r="C2" s="82"/>
    </row>
    <row r="3" spans="2:3" ht="27" customHeight="1" x14ac:dyDescent="0.45">
      <c r="B3" s="37" t="s">
        <v>32</v>
      </c>
      <c r="C3" s="38">
        <v>0.08</v>
      </c>
    </row>
    <row r="4" spans="2:3" ht="27" customHeight="1" x14ac:dyDescent="0.45">
      <c r="B4" s="37" t="s">
        <v>33</v>
      </c>
      <c r="C4" s="37">
        <v>75</v>
      </c>
    </row>
    <row r="5" spans="2:3" ht="21" customHeight="1" x14ac:dyDescent="0.45">
      <c r="B5" s="37" t="s">
        <v>41</v>
      </c>
      <c r="C5" s="37">
        <v>560</v>
      </c>
    </row>
    <row r="6" spans="2:3" x14ac:dyDescent="0.45">
      <c r="B6" s="37" t="s">
        <v>42</v>
      </c>
      <c r="C6" s="37">
        <v>570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83" t="s">
        <v>36</v>
      </c>
      <c r="C2" s="84"/>
    </row>
    <row r="3" spans="2:3" ht="22.05" customHeight="1" x14ac:dyDescent="0.45">
      <c r="B3" s="66" t="s">
        <v>37</v>
      </c>
      <c r="C3" s="68">
        <f>'2023'!P29</f>
        <v>-4100.9300035999922</v>
      </c>
    </row>
    <row r="4" spans="2:3" ht="22.05" customHeight="1" x14ac:dyDescent="0.45">
      <c r="B4" s="67" t="s">
        <v>40</v>
      </c>
      <c r="C4" s="68">
        <f>'2023'!P12</f>
        <v>20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'2023'!SORTIES_FRAIS_PEE_AMUNDI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2024-01-02T16:38:44Z</dcterms:modified>
</cp:coreProperties>
</file>