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D2855733-6D27-4E79-B5EE-808754DD55B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'2023'!$B$34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'2023'!$B$33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'2023'!$B$31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'2022'!$B$26</definedName>
    <definedName name="TOTAL_SORTIES" localSheetId="1">'2023'!$B$27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4" l="1"/>
  <c r="D27" i="14"/>
  <c r="E27" i="14"/>
  <c r="F27" i="14"/>
  <c r="G27" i="14"/>
  <c r="H27" i="14"/>
  <c r="I27" i="14"/>
  <c r="J27" i="14"/>
  <c r="K27" i="14"/>
  <c r="C27" i="14"/>
  <c r="P34" i="14"/>
  <c r="P33" i="14"/>
  <c r="P29" i="14"/>
  <c r="N27" i="14"/>
  <c r="M27" i="14"/>
  <c r="L27" i="14"/>
  <c r="P25" i="14"/>
  <c r="P24" i="14"/>
  <c r="K23" i="14"/>
  <c r="J23" i="14"/>
  <c r="I23" i="14"/>
  <c r="H23" i="14"/>
  <c r="G23" i="14"/>
  <c r="F23" i="14"/>
  <c r="E23" i="14"/>
  <c r="D23" i="14"/>
  <c r="C23" i="14"/>
  <c r="P22" i="14"/>
  <c r="N19" i="14"/>
  <c r="N31" i="14" s="1"/>
  <c r="M19" i="14"/>
  <c r="M31" i="14" s="1"/>
  <c r="L19" i="14"/>
  <c r="D19" i="14"/>
  <c r="C19" i="14"/>
  <c r="P18" i="14"/>
  <c r="K17" i="14"/>
  <c r="K19" i="14" s="1"/>
  <c r="J17" i="14"/>
  <c r="J19" i="14" s="1"/>
  <c r="I17" i="14"/>
  <c r="I19" i="14" s="1"/>
  <c r="I31" i="14" s="1"/>
  <c r="H17" i="14"/>
  <c r="H19" i="14" s="1"/>
  <c r="G17" i="14"/>
  <c r="G19" i="14" s="1"/>
  <c r="F17" i="14"/>
  <c r="F19" i="14" s="1"/>
  <c r="E17" i="14"/>
  <c r="E19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P28" i="12"/>
  <c r="L26" i="12"/>
  <c r="K26" i="12"/>
  <c r="J26" i="12"/>
  <c r="I26" i="12"/>
  <c r="H26" i="12"/>
  <c r="H30" i="12" s="1"/>
  <c r="G26" i="12"/>
  <c r="G30" i="12" s="1"/>
  <c r="F26" i="12"/>
  <c r="E26" i="12"/>
  <c r="D26" i="12"/>
  <c r="C26" i="12"/>
  <c r="P25" i="12"/>
  <c r="P24" i="12"/>
  <c r="P23" i="12"/>
  <c r="N23" i="12"/>
  <c r="N26" i="12" s="1"/>
  <c r="M23" i="12"/>
  <c r="M26" i="12" s="1"/>
  <c r="P22" i="12"/>
  <c r="N19" i="12"/>
  <c r="N30" i="12" s="1"/>
  <c r="M19" i="12"/>
  <c r="L19" i="12"/>
  <c r="L30" i="12" s="1"/>
  <c r="K19" i="12"/>
  <c r="K30" i="12" s="1"/>
  <c r="J19" i="12"/>
  <c r="J30" i="12" s="1"/>
  <c r="I19" i="12"/>
  <c r="I30" i="12" s="1"/>
  <c r="H19" i="12"/>
  <c r="G19" i="12"/>
  <c r="F19" i="12"/>
  <c r="F30" i="12" s="1"/>
  <c r="E19" i="12"/>
  <c r="E30" i="12" s="1"/>
  <c r="D19" i="12"/>
  <c r="D30" i="12" s="1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P8" i="12" s="1"/>
  <c r="D8" i="12"/>
  <c r="C8" i="12"/>
  <c r="P7" i="12"/>
  <c r="P6" i="12"/>
  <c r="K31" i="14" l="1"/>
  <c r="F31" i="14"/>
  <c r="E31" i="14"/>
  <c r="G31" i="14"/>
  <c r="P17" i="14"/>
  <c r="P8" i="14"/>
  <c r="P23" i="14"/>
  <c r="C31" i="14"/>
  <c r="J31" i="14"/>
  <c r="L31" i="14"/>
  <c r="D31" i="14"/>
  <c r="M30" i="12"/>
  <c r="P26" i="12"/>
  <c r="H31" i="14"/>
  <c r="C30" i="12"/>
  <c r="P30" i="12" s="1"/>
  <c r="P19" i="14"/>
  <c r="P27" i="14" l="1"/>
  <c r="P31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C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6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800 A partir d'Octobre pour 6 mois et le 7émé mois liquider le reste</t>
        </r>
      </text>
    </comment>
    <comment ref="D29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2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29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<sst xmlns="http://schemas.openxmlformats.org/spreadsheetml/2006/main" count="86" uniqueCount="48">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</sst>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topLeftCell="B1" workbookViewId="0">
      <selection activeCell="M22" sqref="M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8">
        <f>SUM(C6:N6)</f>
        <v>171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/>
      <c r="M7" s="37"/>
      <c r="N7" s="37"/>
      <c r="O7" s="36"/>
      <c r="P7" s="58">
        <f>SUM(C7:N7)</f>
        <v>179.5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8.5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/>
      <c r="M11" s="11"/>
      <c r="N11" s="11"/>
      <c r="P11" s="59">
        <f>SUM(C11:N11)</f>
        <v>178.5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/>
      <c r="M12" s="12"/>
      <c r="N12" s="12"/>
      <c r="P12" s="59">
        <f>SUM(C12:N12)</f>
        <v>10.5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((4*Params!$C$6+17.5*Params!C7)*(1-Params!$C$3))-Params!$C$4</f>
        <v>12598</v>
      </c>
      <c r="K17" s="10">
        <f>K11*Params!$C$7*(1-Params!$C$3)-Params!$C$4</f>
        <v>11586</v>
      </c>
      <c r="L17" s="10"/>
      <c r="M17" s="10"/>
      <c r="N17" s="10"/>
      <c r="O17" s="4"/>
      <c r="P17" s="41">
        <f>SUM(C17:N17)</f>
        <v>98965.6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11199.6</v>
      </c>
      <c r="D19" s="28">
        <f t="shared" si="1"/>
        <v>10965</v>
      </c>
      <c r="E19" s="28">
        <f t="shared" si="1"/>
        <v>12069</v>
      </c>
      <c r="F19" s="28">
        <f t="shared" si="1"/>
        <v>9861</v>
      </c>
      <c r="G19" s="28">
        <f t="shared" si="1"/>
        <v>8205</v>
      </c>
      <c r="H19" s="28">
        <f t="shared" si="1"/>
        <v>12069</v>
      </c>
      <c r="I19" s="28">
        <f t="shared" si="1"/>
        <v>10413</v>
      </c>
      <c r="J19" s="28">
        <f t="shared" si="1"/>
        <v>12598</v>
      </c>
      <c r="K19" s="28">
        <f t="shared" si="1"/>
        <v>11586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98965.6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5765.14</v>
      </c>
      <c r="D22" s="10">
        <v>5476.07</v>
      </c>
      <c r="E22" s="10">
        <v>5476.07</v>
      </c>
      <c r="F22" s="10">
        <v>5476.07</v>
      </c>
      <c r="G22" s="10">
        <v>5976.07</v>
      </c>
      <c r="H22" s="10">
        <v>5976.07</v>
      </c>
      <c r="I22" s="10">
        <v>5976.07</v>
      </c>
      <c r="J22" s="10">
        <v>11404.26</v>
      </c>
      <c r="K22" s="10">
        <v>5976.07</v>
      </c>
      <c r="L22" s="10"/>
      <c r="M22" s="10"/>
      <c r="N22" s="10"/>
      <c r="O22" s="4"/>
      <c r="P22" s="43">
        <f>SUM(C22:N22)</f>
        <v>57501.89</v>
      </c>
    </row>
    <row r="23" spans="2:16" x14ac:dyDescent="0.45">
      <c r="B23" s="9" t="s">
        <v>8</v>
      </c>
      <c r="C23" s="10">
        <f>1250.13+2318.04</f>
        <v>3568.17</v>
      </c>
      <c r="D23" s="10">
        <f>1344.15+2528.5</f>
        <v>3872.65</v>
      </c>
      <c r="E23" s="10">
        <f>1344.15+2528.13</f>
        <v>3872.28</v>
      </c>
      <c r="F23" s="10">
        <f>1344.15+2528.95</f>
        <v>3873.1</v>
      </c>
      <c r="G23" s="10">
        <f>1344.15+2532</f>
        <v>3876.15</v>
      </c>
      <c r="H23" s="10">
        <f>1344.15+2533.8</f>
        <v>3877.9500000000003</v>
      </c>
      <c r="I23" s="10">
        <f>1344.15+2529.65</f>
        <v>3873.8</v>
      </c>
      <c r="J23" s="10">
        <f>1915.96+2530.47</f>
        <v>4446.43</v>
      </c>
      <c r="K23" s="10">
        <f>1344.15+2530.07</f>
        <v>3874.2200000000003</v>
      </c>
      <c r="L23" s="10"/>
      <c r="M23" s="10"/>
      <c r="N23" s="10"/>
      <c r="O23" s="4"/>
      <c r="P23" s="43">
        <f>SUM(C23:N23)</f>
        <v>35134.75</v>
      </c>
    </row>
    <row r="24" spans="2:16" x14ac:dyDescent="0.45">
      <c r="B24" s="55" t="s">
        <v>40</v>
      </c>
      <c r="C24" s="10">
        <v>592.03</v>
      </c>
      <c r="D24" s="10">
        <v>568.6</v>
      </c>
      <c r="E24" s="10">
        <v>592.03</v>
      </c>
      <c r="F24" s="10">
        <v>544.31200000000001</v>
      </c>
      <c r="G24" s="10">
        <v>470.26</v>
      </c>
      <c r="H24" s="10">
        <v>643.048</v>
      </c>
      <c r="I24" s="10">
        <v>568.99599999999998</v>
      </c>
      <c r="J24" s="10">
        <v>643.048</v>
      </c>
      <c r="K24" s="10">
        <v>568.99599999999998</v>
      </c>
      <c r="L24" s="10"/>
      <c r="M24" s="10"/>
      <c r="N24" s="10"/>
      <c r="O24" s="4"/>
      <c r="P24" s="43">
        <f>SUM(C24:N24)</f>
        <v>5191.32</v>
      </c>
    </row>
    <row r="25" spans="2:16" x14ac:dyDescent="0.45">
      <c r="B25" s="55" t="s">
        <v>43</v>
      </c>
      <c r="C25" s="10">
        <v>781.25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781.25</v>
      </c>
    </row>
    <row r="26" spans="2:16" x14ac:dyDescent="0.45">
      <c r="B26" s="55" t="s">
        <v>47</v>
      </c>
      <c r="C26" s="56"/>
      <c r="D26" s="56"/>
      <c r="E26" s="56"/>
      <c r="F26" s="56"/>
      <c r="G26" s="56"/>
      <c r="H26" s="56"/>
      <c r="I26" s="56"/>
      <c r="J26" s="56"/>
      <c r="K26" s="56"/>
      <c r="L26" s="56">
        <v>6000</v>
      </c>
      <c r="M26" s="56"/>
      <c r="N26" s="56"/>
      <c r="O26" s="4"/>
      <c r="P26" s="43">
        <f>SUM(C26:N26)</f>
        <v>6000</v>
      </c>
    </row>
    <row r="27" spans="2:16" x14ac:dyDescent="0.45">
      <c r="B27" s="69" t="s">
        <v>3</v>
      </c>
      <c r="C27" s="44">
        <f>SUM(C22:C26)</f>
        <v>10706.590000000002</v>
      </c>
      <c r="D27" s="44">
        <f t="shared" ref="D27:K27" si="2">SUM(D22:D26)</f>
        <v>9917.32</v>
      </c>
      <c r="E27" s="44">
        <f t="shared" si="2"/>
        <v>9940.380000000001</v>
      </c>
      <c r="F27" s="44">
        <f t="shared" si="2"/>
        <v>9893.482</v>
      </c>
      <c r="G27" s="44">
        <f t="shared" si="2"/>
        <v>10322.48</v>
      </c>
      <c r="H27" s="44">
        <f t="shared" si="2"/>
        <v>10497.068000000001</v>
      </c>
      <c r="I27" s="44">
        <f t="shared" si="2"/>
        <v>10418.865999999998</v>
      </c>
      <c r="J27" s="44">
        <f t="shared" si="2"/>
        <v>16493.738000000001</v>
      </c>
      <c r="K27" s="44">
        <f t="shared" si="2"/>
        <v>10419.286</v>
      </c>
      <c r="L27" s="44">
        <f t="shared" ref="C27:N27" si="3">SUM(L22:L25)</f>
        <v>0</v>
      </c>
      <c r="M27" s="44">
        <f t="shared" si="3"/>
        <v>0</v>
      </c>
      <c r="N27" s="44">
        <f t="shared" si="3"/>
        <v>0</v>
      </c>
      <c r="O27" s="4"/>
      <c r="P27" s="61">
        <f>SUM(C27:N27)</f>
        <v>98609.209999999992</v>
      </c>
    </row>
    <row r="29" spans="2:16" x14ac:dyDescent="0.45">
      <c r="B29" s="66" t="s">
        <v>42</v>
      </c>
      <c r="C29" s="67"/>
      <c r="D29" s="70">
        <v>500</v>
      </c>
      <c r="E29" s="67">
        <v>500</v>
      </c>
      <c r="F29" s="67">
        <v>500</v>
      </c>
      <c r="G29" s="67"/>
      <c r="H29" s="67"/>
      <c r="I29" s="67"/>
      <c r="J29" s="67"/>
      <c r="K29" s="67"/>
      <c r="L29" s="67"/>
      <c r="M29" s="67"/>
      <c r="N29" s="67"/>
      <c r="P29" s="68">
        <f>SUM(C29:N29)</f>
        <v>1500</v>
      </c>
    </row>
    <row r="31" spans="2:16" x14ac:dyDescent="0.45">
      <c r="B31" s="46" t="s">
        <v>36</v>
      </c>
      <c r="C31" s="47">
        <f t="shared" ref="C31:N31" si="4">C19-C27</f>
        <v>493.0099999999984</v>
      </c>
      <c r="D31" s="47">
        <f t="shared" si="4"/>
        <v>1047.6800000000003</v>
      </c>
      <c r="E31" s="47">
        <f t="shared" si="4"/>
        <v>2128.619999999999</v>
      </c>
      <c r="F31" s="47">
        <f t="shared" si="4"/>
        <v>-32.481999999999971</v>
      </c>
      <c r="G31" s="47">
        <f t="shared" si="4"/>
        <v>-2117.4799999999996</v>
      </c>
      <c r="H31" s="47">
        <f t="shared" si="4"/>
        <v>1571.9319999999989</v>
      </c>
      <c r="I31" s="47">
        <f t="shared" si="4"/>
        <v>-5.8659999999981665</v>
      </c>
      <c r="J31" s="47">
        <f t="shared" si="4"/>
        <v>-3895.7380000000012</v>
      </c>
      <c r="K31" s="47">
        <f t="shared" si="4"/>
        <v>1166.7139999999999</v>
      </c>
      <c r="L31" s="47">
        <f t="shared" si="4"/>
        <v>0</v>
      </c>
      <c r="M31" s="47">
        <f t="shared" si="4"/>
        <v>0</v>
      </c>
      <c r="N31" s="47">
        <f t="shared" si="4"/>
        <v>0</v>
      </c>
      <c r="P31" s="60">
        <f>SUM(C31:N31)</f>
        <v>356.3899999999976</v>
      </c>
    </row>
    <row r="33" spans="2:16" x14ac:dyDescent="0.45">
      <c r="B33" s="63" t="s">
        <v>37</v>
      </c>
      <c r="C33" s="54">
        <v>1386</v>
      </c>
      <c r="D33" s="54">
        <v>1320</v>
      </c>
      <c r="E33" s="54">
        <v>1386</v>
      </c>
      <c r="F33" s="54">
        <v>1188</v>
      </c>
      <c r="G33" s="54">
        <v>990</v>
      </c>
      <c r="H33" s="54">
        <v>1452</v>
      </c>
      <c r="I33" s="54">
        <v>1254</v>
      </c>
      <c r="J33" s="54">
        <v>1452</v>
      </c>
      <c r="K33" s="54">
        <v>1254</v>
      </c>
      <c r="L33" s="54"/>
      <c r="M33" s="54"/>
      <c r="N33" s="54"/>
      <c r="P33" s="62">
        <f>SUM(C33:N33)</f>
        <v>11682</v>
      </c>
    </row>
    <row r="34" spans="2:16" x14ac:dyDescent="0.45">
      <c r="B34" s="63" t="s">
        <v>38</v>
      </c>
      <c r="C34" s="54">
        <v>592.03</v>
      </c>
      <c r="D34" s="54">
        <v>568.6</v>
      </c>
      <c r="E34" s="54">
        <v>592.03</v>
      </c>
      <c r="F34" s="54">
        <v>544.31200000000001</v>
      </c>
      <c r="G34" s="54">
        <v>470.26</v>
      </c>
      <c r="H34" s="54">
        <v>643.048</v>
      </c>
      <c r="I34" s="54">
        <v>568.99599999999998</v>
      </c>
      <c r="J34" s="54">
        <v>643.048</v>
      </c>
      <c r="K34" s="54">
        <v>568.99599999999998</v>
      </c>
      <c r="L34" s="54"/>
      <c r="M34" s="54"/>
      <c r="N34" s="54"/>
      <c r="P34" s="62">
        <f>SUM(C34:N34)</f>
        <v>5191.32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SUM('2022'!P30,'2023'!P31)</f>
        <v>885.46999999999753</v>
      </c>
    </row>
    <row r="4" spans="2:3" ht="16.899999999999999" customHeight="1" x14ac:dyDescent="0.45">
      <c r="B4" s="38" t="s">
        <v>39</v>
      </c>
      <c r="C4" s="40">
        <f>'2022'!P12+'2023'!P12</f>
        <v>10.5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2023-10-06T09:57:00Z</dcterms:modified>
</cp:coreProperties>
</file>