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HighskillTools\Data\Suivi\2023\08\Normal\"/>
    </mc:Choice>
  </mc:AlternateContent>
  <xr:revisionPtr revIDLastSave="0" documentId="13_ncr:1_{3174EA65-CE16-4482-BE1F-DF1EA69524D7}" xr6:coauthVersionLast="47" xr6:coauthVersionMax="47" xr10:uidLastSave="{00000000-0000-0000-0000-000000000000}"/>
  <bookViews>
    <workbookView xWindow="-98" yWindow="-98" windowWidth="22695" windowHeight="14476" activeTab="1" xr2:uid="{00000000-000D-0000-FFFF-FFFF00000000}"/>
  </bookViews>
  <sheets>
    <sheet name="2022" sheetId="12" r:id="rId1"/>
    <sheet name="2023" sheetId="14" r:id="rId2"/>
    <sheet name="Params" sheetId="10" r:id="rId3"/>
    <sheet name="Synthése" sheetId="13" r:id="rId4"/>
  </sheets>
  <definedNames>
    <definedName name="AOUT" localSheetId="1">'2023'!$J$3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>#REF!</definedName>
    <definedName name="AVRIL" localSheetId="1">'2023'!$F$3</definedName>
    <definedName name="AVRIL">'2022'!$F$3</definedName>
    <definedName name="CRA" localSheetId="0">'2022'!$B$10</definedName>
    <definedName name="CRA" localSheetId="1">'2023'!$B$10</definedName>
    <definedName name="CRA">#REF!</definedName>
    <definedName name="CRA_ASTREINTE" localSheetId="0">'2022'!$B$14</definedName>
    <definedName name="CRA_ASTREINTE" localSheetId="1">'2023'!$B$14</definedName>
    <definedName name="CRA_ASTREINTE">#REF!</definedName>
    <definedName name="CRA_CP" localSheetId="0">'2022'!$B$12</definedName>
    <definedName name="CRA_CP" localSheetId="1">'2023'!$B$12</definedName>
    <definedName name="CRA_CP">#REF!</definedName>
    <definedName name="CRA_PRODUCTION" localSheetId="0">'2022'!$B$11</definedName>
    <definedName name="CRA_PRODUCTION" localSheetId="1">'2023'!$B$11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>#REF!</definedName>
    <definedName name="DECEMBRE" localSheetId="0">'2022'!$N$3</definedName>
    <definedName name="DECEMBRE" localSheetId="1">'2023'!$N$3</definedName>
    <definedName name="DECEMBRE">#REF!</definedName>
    <definedName name="ENTREES" localSheetId="0">'2022'!$B$16</definedName>
    <definedName name="ENTREES" localSheetId="1">'2023'!$B$16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>#REF!</definedName>
    <definedName name="FEVRIER" localSheetId="1">'2023'!$D$3</definedName>
    <definedName name="FEVRIER">'2022'!$D$3</definedName>
    <definedName name="FRAIS_KM" localSheetId="0">'2022'!$B$33</definedName>
    <definedName name="FRAIS_KM" localSheetId="1">'2023'!$B$33</definedName>
    <definedName name="JANVIER" localSheetId="1">'2023'!$C$3</definedName>
    <definedName name="JANVIER">'2022'!$C$3</definedName>
    <definedName name="JUILLET" localSheetId="1">'2023'!$I$3</definedName>
    <definedName name="JUILLET">'2022'!$I$3</definedName>
    <definedName name="JUIN" localSheetId="1">'2023'!$H$3</definedName>
    <definedName name="JUIN">'2022'!$H$3</definedName>
    <definedName name="MAI" localSheetId="1">'2023'!$G$3</definedName>
    <definedName name="MAI">'2022'!$G$3</definedName>
    <definedName name="MARS" localSheetId="1">'2023'!$E$3</definedName>
    <definedName name="MARS">'2022'!$E$3</definedName>
    <definedName name="MOIS" localSheetId="0">'2022'!$B$3</definedName>
    <definedName name="MOIS" localSheetId="1">'2023'!$B$3</definedName>
    <definedName name="MOIS">#REF!</definedName>
    <definedName name="NOMBRE_KM" localSheetId="0">'2022'!$B$32</definedName>
    <definedName name="NOMBRE_KM" localSheetId="1">'2023'!$B$32</definedName>
    <definedName name="NOVEMBRE" localSheetId="0">'2022'!$M$3</definedName>
    <definedName name="NOVEMBRE" localSheetId="1">'2023'!$M$3</definedName>
    <definedName name="NOVEMBRE">#REF!</definedName>
    <definedName name="OCTOBRE" localSheetId="1">'2023'!$L$3</definedName>
    <definedName name="OCTOBRE">'2022'!$L$3</definedName>
    <definedName name="REPAS" localSheetId="0">'2022'!$B$5</definedName>
    <definedName name="REPAS" localSheetId="1">'2023'!$B$5</definedName>
    <definedName name="REPAS">#REF!</definedName>
    <definedName name="REPAS_ACQUIS" localSheetId="0">'2022'!$B$7</definedName>
    <definedName name="REPAS_ACQUIS" localSheetId="1">'2023'!$B$7</definedName>
    <definedName name="REPAS_ACQUIS">#REF!</definedName>
    <definedName name="REPAS_PRIS" localSheetId="0">'2022'!$B$6</definedName>
    <definedName name="REPAS_PRIS" localSheetId="1">'2023'!$B$6</definedName>
    <definedName name="REPAS_PRIS">#REF!</definedName>
    <definedName name="REPAS_SOLDE" localSheetId="0">'2022'!$B$8</definedName>
    <definedName name="REPAS_SOLDE" localSheetId="1">'2023'!$B$8</definedName>
    <definedName name="REPAS_SOLDE">#REF!</definedName>
    <definedName name="SEPTEMBRE" localSheetId="1">'2023'!$K$3</definedName>
    <definedName name="SEPTEMBRE">'2022'!$K$3</definedName>
    <definedName name="SOLDE" localSheetId="0">'2022'!$B$30</definedName>
    <definedName name="SOLDE" localSheetId="1">'2023'!$B$30</definedName>
    <definedName name="SORTIES" localSheetId="0">'2022'!$B$21</definedName>
    <definedName name="SORTIES" localSheetId="1">'2023'!$B$21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>#REF!</definedName>
    <definedName name="SORTIES_CHARGES_SOCIALES_PATRONALES" localSheetId="0">'2022'!$B$23</definedName>
    <definedName name="SORTIES_CHARGES_SOCIALES_PATRONALES" localSheetId="1">'2023'!$B$23</definedName>
    <definedName name="SORTIES_CHARGES_SOCIALES_PATRONALES">#REF!</definedName>
    <definedName name="SORTIES_FRAIS_KM" localSheetId="0">'2022'!$B$24</definedName>
    <definedName name="SORTIES_FRAIS_KM" localSheetId="1">'2023'!$B$24</definedName>
    <definedName name="SORTIES_FRAIS_PEE_AMUNDI" localSheetId="0">'2022'!#REF!</definedName>
    <definedName name="SORTIES_FRAIS_PEE_AMUNDI" localSheetId="1">'2023'!#REF!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>#REF!</definedName>
    <definedName name="SORTIES_SALAIRE_NET" localSheetId="0">'2022'!$B$22</definedName>
    <definedName name="SORTIES_SALAIRE_NET" localSheetId="1">'2023'!$B$22</definedName>
    <definedName name="SORTIES_SALAIRE_NET">#REF!</definedName>
    <definedName name="TOTAL" localSheetId="0">'2022'!$P$3</definedName>
    <definedName name="TOTAL" localSheetId="1">'2023'!$P$3</definedName>
    <definedName name="TOTAL">#REF!</definedName>
    <definedName name="TOTAL_ENTREES" localSheetId="0">'2022'!$B$19</definedName>
    <definedName name="TOTAL_ENTREES" localSheetId="1">'2023'!$B$19</definedName>
    <definedName name="TOTAL_ENTREES">#REF!</definedName>
    <definedName name="TOTAL_SORTIES" localSheetId="0">'2022'!$B$26</definedName>
    <definedName name="TOTAL_SORTIES" localSheetId="1">'2023'!$B$26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J17" i="14" l="1"/>
  <c r="J19" i="14" s="1"/>
  <c r="P33" i="14"/>
  <c r="P32" i="14"/>
  <c r="N30" i="14"/>
  <c r="M30" i="14"/>
  <c r="E30" i="14"/>
  <c r="P28" i="14"/>
  <c r="N26" i="14"/>
  <c r="M26" i="14"/>
  <c r="L26" i="14"/>
  <c r="K26" i="14"/>
  <c r="E26" i="14"/>
  <c r="D26" i="14"/>
  <c r="C26" i="14"/>
  <c r="P25" i="14"/>
  <c r="P24" i="14"/>
  <c r="J23" i="14"/>
  <c r="J26" i="14" s="1"/>
  <c r="I23" i="14"/>
  <c r="I26" i="14" s="1"/>
  <c r="H23" i="14"/>
  <c r="H26" i="14" s="1"/>
  <c r="G23" i="14"/>
  <c r="G26" i="14" s="1"/>
  <c r="F23" i="14"/>
  <c r="F26" i="14" s="1"/>
  <c r="E23" i="14"/>
  <c r="D23" i="14"/>
  <c r="C23" i="14"/>
  <c r="P23" i="14" s="1"/>
  <c r="P22" i="14"/>
  <c r="N19" i="14"/>
  <c r="M19" i="14"/>
  <c r="L19" i="14"/>
  <c r="L30" i="14" s="1"/>
  <c r="K19" i="14"/>
  <c r="K30" i="14" s="1"/>
  <c r="E19" i="14"/>
  <c r="D19" i="14"/>
  <c r="C19" i="14"/>
  <c r="C30" i="14" s="1"/>
  <c r="P18" i="14"/>
  <c r="I17" i="14"/>
  <c r="I19" i="14" s="1"/>
  <c r="I30" i="14" s="1"/>
  <c r="H17" i="14"/>
  <c r="H19" i="14" s="1"/>
  <c r="H30" i="14" s="1"/>
  <c r="G17" i="14"/>
  <c r="G19" i="14" s="1"/>
  <c r="G30" i="14" s="1"/>
  <c r="F17" i="14"/>
  <c r="F19" i="14" s="1"/>
  <c r="F30" i="14" s="1"/>
  <c r="E17" i="14"/>
  <c r="D17" i="14"/>
  <c r="C17" i="14"/>
  <c r="P14" i="14"/>
  <c r="P13" i="14"/>
  <c r="P12" i="14"/>
  <c r="P11" i="14"/>
  <c r="N8" i="14"/>
  <c r="M8" i="14"/>
  <c r="L8" i="14"/>
  <c r="K8" i="14"/>
  <c r="J8" i="14"/>
  <c r="I8" i="14"/>
  <c r="H8" i="14"/>
  <c r="G8" i="14"/>
  <c r="P8" i="14" s="1"/>
  <c r="F8" i="14"/>
  <c r="E8" i="14"/>
  <c r="D8" i="14"/>
  <c r="C8" i="14"/>
  <c r="P7" i="14"/>
  <c r="P6" i="14"/>
  <c r="P33" i="12"/>
  <c r="P32" i="12"/>
  <c r="H30" i="12"/>
  <c r="P28" i="12"/>
  <c r="N26" i="12"/>
  <c r="L26" i="12"/>
  <c r="K26" i="12"/>
  <c r="J26" i="12"/>
  <c r="I26" i="12"/>
  <c r="H26" i="12"/>
  <c r="G26" i="12"/>
  <c r="G30" i="12" s="1"/>
  <c r="F26" i="12"/>
  <c r="E26" i="12"/>
  <c r="D26" i="12"/>
  <c r="C26" i="12"/>
  <c r="P25" i="12"/>
  <c r="P24" i="12"/>
  <c r="N23" i="12"/>
  <c r="M23" i="12"/>
  <c r="P23" i="12" s="1"/>
  <c r="P22" i="12"/>
  <c r="N19" i="12"/>
  <c r="N30" i="12" s="1"/>
  <c r="M19" i="12"/>
  <c r="L19" i="12"/>
  <c r="L30" i="12" s="1"/>
  <c r="K19" i="12"/>
  <c r="K30" i="12" s="1"/>
  <c r="J19" i="12"/>
  <c r="J30" i="12" s="1"/>
  <c r="I19" i="12"/>
  <c r="I30" i="12" s="1"/>
  <c r="H19" i="12"/>
  <c r="G19" i="12"/>
  <c r="F19" i="12"/>
  <c r="F30" i="12" s="1"/>
  <c r="E19" i="12"/>
  <c r="E30" i="12" s="1"/>
  <c r="D19" i="12"/>
  <c r="D30" i="12" s="1"/>
  <c r="C19" i="12"/>
  <c r="P19" i="12" s="1"/>
  <c r="P18" i="12"/>
  <c r="P17" i="12"/>
  <c r="P14" i="12"/>
  <c r="P13" i="12"/>
  <c r="P12" i="12"/>
  <c r="C4" i="13" s="1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P17" i="14" l="1"/>
  <c r="P19" i="14"/>
  <c r="P26" i="14"/>
  <c r="J30" i="14"/>
  <c r="M26" i="12"/>
  <c r="P26" i="12" s="1"/>
  <c r="D30" i="14"/>
  <c r="C30" i="12"/>
  <c r="P30" i="14" l="1"/>
  <c r="M30" i="12"/>
  <c r="P30" i="12"/>
  <c r="C3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  <author>youss</author>
  </authors>
  <commentList>
    <comment ref="C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D28" authorId="1" shapeId="0" xr:uid="{00000000-0006-0000-0100-000002000000}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28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  <comment ref="F28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</commentList>
</comments>
</file>

<file path=xl/sharedStrings.xml><?xml version="1.0" encoding="utf-8"?>
<sst xmlns="http://schemas.openxmlformats.org/spreadsheetml/2006/main" count="85" uniqueCount="47">
  <si>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</si>
  <si>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</si>
  <si>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</si>
  <si>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</si>
  <si>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</si>
  <si>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</si>
  <si>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</si>
  <si>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</si>
  <si>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</si>
  <si>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</si>
  <si>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</si>
  <si>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</si>
  <si>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</si>
  <si>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</si>
  <si>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</si>
  <si>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</si>
  <si>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</si>
  <si>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</si>
  <si>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</si>
  <si>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</si>
  <si>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</si>
  <si>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</si>
  <si>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</si>
  <si>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</si>
  <si>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</si>
  <si>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</si>
  <si>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</si>
  <si>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</si>
  <si>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</si>
  <si>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</si>
  <si>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</si>
  <si>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</si>
  <si>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</si>
  <si>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</si>
  <si>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</si>
  <si>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</si>
  <si>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</si>
  <si>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</si>
  <si>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</si>
  <si>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</si>
  <si>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</si>
  <si>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</si>
  <si>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</si>
  <si>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</si>
  <si>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</si>
  <si>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</si>
  <si>
    <t>TJM (Août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</si>
</sst>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12" borderId="2" xfId="0" applyNumberFormat="1" applyFont="1" applyFill="1" applyBorder="1"/>
    <xf numFmtId="0" fontId="0" fillId="13" borderId="1" xfId="0" applyFill="1" applyBorder="1" applyProtection="1">
      <protection locked="0"/>
    </xf>
    <xf numFmtId="0" fontId="0" fillId="13" borderId="1" xfId="0" applyFill="1" applyBorder="1"/>
    <xf numFmtId="0" fontId="1" fillId="1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13" borderId="1" xfId="0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1" workbookViewId="0">
      <selection activeCell="K43" sqref="K43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71" t="s">
        <v>9</v>
      </c>
    </row>
    <row r="2" spans="2:16" x14ac:dyDescent="0.45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8">
        <f>SUM(C6:N6)</f>
        <v>38</v>
      </c>
    </row>
    <row r="7" spans="2:16" x14ac:dyDescent="0.45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20</v>
      </c>
      <c r="N7" s="37">
        <v>22</v>
      </c>
      <c r="O7" s="36"/>
      <c r="P7" s="58">
        <f>SUM(C7:N7)</f>
        <v>42</v>
      </c>
    </row>
    <row r="8" spans="2:16" x14ac:dyDescent="0.45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20</v>
      </c>
      <c r="N11" s="11">
        <v>22</v>
      </c>
      <c r="P11" s="59">
        <f>SUM(C11:N11)</f>
        <v>42</v>
      </c>
    </row>
    <row r="12" spans="2:16" x14ac:dyDescent="0.45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v>10413</v>
      </c>
      <c r="N17" s="10">
        <v>11461.800000000001</v>
      </c>
      <c r="O17" s="4"/>
      <c r="P17" s="41">
        <f>SUM(C17:N17)</f>
        <v>21874.800000000003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10413</v>
      </c>
      <c r="N19" s="28">
        <f t="shared" si="1"/>
        <v>11461.800000000001</v>
      </c>
      <c r="O19" s="5"/>
      <c r="P19" s="42">
        <f>SUM(C19:O19)</f>
        <v>21874.800000000003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5770.62</v>
      </c>
      <c r="N22" s="10">
        <v>5270.62</v>
      </c>
      <c r="O22" s="4"/>
      <c r="P22" s="43">
        <f>SUM(C22:N22)</f>
        <v>11041.24</v>
      </c>
    </row>
    <row r="23" spans="2:16" x14ac:dyDescent="0.45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1244.65+2315.56</f>
        <v>3560.21</v>
      </c>
      <c r="N23" s="10">
        <f>1244.65+2315.56</f>
        <v>3560.21</v>
      </c>
      <c r="O23" s="4"/>
      <c r="P23" s="43">
        <f>SUM(C23:N23)</f>
        <v>7120.42</v>
      </c>
    </row>
    <row r="24" spans="2:16" x14ac:dyDescent="0.45">
      <c r="B24" s="55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568.6</v>
      </c>
      <c r="N24" s="10">
        <v>615.46</v>
      </c>
      <c r="O24" s="4"/>
      <c r="P24" s="43">
        <f>SUM(C24:N24)</f>
        <v>1184.06</v>
      </c>
    </row>
    <row r="25" spans="2:16" x14ac:dyDescent="0.45">
      <c r="B25" s="55" t="s">
        <v>41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65">
        <v>2000</v>
      </c>
      <c r="N25" s="56"/>
      <c r="O25" s="4"/>
      <c r="P25" s="43">
        <f>SUM(C25:N25)</f>
        <v>2000</v>
      </c>
    </row>
    <row r="26" spans="2:16" x14ac:dyDescent="0.45">
      <c r="B26" s="8" t="s">
        <v>3</v>
      </c>
      <c r="C26" s="44">
        <f t="shared" ref="C26" si="2">SUM(C22:C25)</f>
        <v>0</v>
      </c>
      <c r="D26" s="44">
        <f t="shared" ref="D26" si="3">SUM(D22:D25)</f>
        <v>0</v>
      </c>
      <c r="E26" s="44">
        <f t="shared" ref="E26" si="4">SUM(E22:E25)</f>
        <v>0</v>
      </c>
      <c r="F26" s="44">
        <f t="shared" ref="F26" si="5">SUM(F22:F25)</f>
        <v>0</v>
      </c>
      <c r="G26" s="44">
        <f t="shared" ref="G26" si="6">SUM(G22:G25)</f>
        <v>0</v>
      </c>
      <c r="H26" s="44">
        <f t="shared" ref="H26" si="7">SUM(H22:H25)</f>
        <v>0</v>
      </c>
      <c r="I26" s="44">
        <f t="shared" ref="I26" si="8">SUM(I22:I25)</f>
        <v>0</v>
      </c>
      <c r="J26" s="44">
        <f t="shared" ref="J26" si="9">SUM(J22:J25)</f>
        <v>0</v>
      </c>
      <c r="K26" s="44">
        <f t="shared" ref="K26" si="10">SUM(K22:K25)</f>
        <v>0</v>
      </c>
      <c r="L26" s="44">
        <f t="shared" ref="L26" si="11">SUM(L22:L25)</f>
        <v>0</v>
      </c>
      <c r="M26" s="44">
        <f>SUM(M22:M25)</f>
        <v>11899.43</v>
      </c>
      <c r="N26" s="44">
        <f>SUM(N22:N25)</f>
        <v>9446.2900000000009</v>
      </c>
      <c r="O26" s="4"/>
      <c r="P26" s="61">
        <f>SUM(C26:N26)</f>
        <v>21345.72</v>
      </c>
    </row>
    <row r="27" spans="2:16" x14ac:dyDescent="0.45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45">
      <c r="B28" s="66" t="s">
        <v>42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70">
        <v>500</v>
      </c>
      <c r="P28" s="68">
        <f>SUM(C28:N28)</f>
        <v>500</v>
      </c>
    </row>
    <row r="29" spans="2:16" x14ac:dyDescent="0.45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45">
      <c r="B30" s="46" t="s">
        <v>36</v>
      </c>
      <c r="C30" s="47">
        <f t="shared" ref="C30:N30" si="12">C19-C26</f>
        <v>0</v>
      </c>
      <c r="D30" s="47">
        <f t="shared" si="12"/>
        <v>0</v>
      </c>
      <c r="E30" s="47">
        <f t="shared" si="12"/>
        <v>0</v>
      </c>
      <c r="F30" s="47">
        <f t="shared" si="12"/>
        <v>0</v>
      </c>
      <c r="G30" s="47">
        <f t="shared" si="12"/>
        <v>0</v>
      </c>
      <c r="H30" s="47">
        <f t="shared" si="12"/>
        <v>0</v>
      </c>
      <c r="I30" s="47">
        <f t="shared" si="12"/>
        <v>0</v>
      </c>
      <c r="J30" s="47">
        <f t="shared" si="12"/>
        <v>0</v>
      </c>
      <c r="K30" s="47">
        <f t="shared" si="12"/>
        <v>0</v>
      </c>
      <c r="L30" s="47">
        <f t="shared" si="12"/>
        <v>0</v>
      </c>
      <c r="M30" s="47">
        <f t="shared" si="12"/>
        <v>-1486.4300000000003</v>
      </c>
      <c r="N30" s="47">
        <f t="shared" si="12"/>
        <v>2015.5100000000002</v>
      </c>
      <c r="P30" s="60">
        <f>SUM(C30:O30)</f>
        <v>529.07999999999993</v>
      </c>
    </row>
    <row r="32" spans="2:16" x14ac:dyDescent="0.45">
      <c r="B32" s="63" t="s">
        <v>37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>
        <v>1320</v>
      </c>
      <c r="N32" s="54">
        <v>1452</v>
      </c>
      <c r="P32" s="62">
        <f>SUM(C32:N32)</f>
        <v>2772</v>
      </c>
    </row>
    <row r="33" spans="2:16" x14ac:dyDescent="0.45">
      <c r="B33" s="63" t="s">
        <v>38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>
        <v>568.6</v>
      </c>
      <c r="N33" s="54">
        <v>615.46</v>
      </c>
      <c r="P33" s="62">
        <f>SUM(C33:N33)</f>
        <v>1184.06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3"/>
  <sheetViews>
    <sheetView tabSelected="1" topLeftCell="B1" workbookViewId="0">
      <selection activeCell="J17" sqref="J17"/>
    </sheetView>
  </sheetViews>
  <sheetFormatPr baseColWidth="10" defaultRowHeight="14.25" x14ac:dyDescent="0.45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45">
      <c r="B1" s="71" t="s">
        <v>9</v>
      </c>
    </row>
    <row r="2" spans="2:16" x14ac:dyDescent="0.45">
      <c r="B2" s="7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45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45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45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45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/>
      <c r="L6" s="37"/>
      <c r="M6" s="37"/>
      <c r="N6" s="37"/>
      <c r="O6" s="36"/>
      <c r="P6" s="58">
        <f>SUM(C6:N6)</f>
        <v>152</v>
      </c>
    </row>
    <row r="7" spans="2:16" x14ac:dyDescent="0.45">
      <c r="B7" s="9" t="s">
        <v>21</v>
      </c>
      <c r="C7" s="37">
        <v>22</v>
      </c>
      <c r="D7" s="37">
        <v>20</v>
      </c>
      <c r="E7" s="37">
        <v>22</v>
      </c>
      <c r="F7" s="37">
        <v>18</v>
      </c>
      <c r="G7" s="37">
        <v>15</v>
      </c>
      <c r="H7" s="37">
        <v>22</v>
      </c>
      <c r="I7" s="37">
        <v>19</v>
      </c>
      <c r="J7" s="37">
        <v>21.5</v>
      </c>
      <c r="K7" s="37"/>
      <c r="L7" s="37"/>
      <c r="M7" s="37"/>
      <c r="N7" s="37"/>
      <c r="O7" s="36"/>
      <c r="P7" s="58">
        <f>SUM(C7:N7)</f>
        <v>159.5</v>
      </c>
    </row>
    <row r="8" spans="2:16" x14ac:dyDescent="0.45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3</v>
      </c>
      <c r="F8" s="64">
        <f t="shared" si="0"/>
        <v>-1</v>
      </c>
      <c r="G8" s="64">
        <f t="shared" si="0"/>
        <v>-4</v>
      </c>
      <c r="H8" s="64">
        <f t="shared" si="0"/>
        <v>3</v>
      </c>
      <c r="I8" s="64">
        <f t="shared" si="0"/>
        <v>0</v>
      </c>
      <c r="J8" s="64">
        <f t="shared" si="0"/>
        <v>2.5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7.5</v>
      </c>
    </row>
    <row r="9" spans="2:16" x14ac:dyDescent="0.45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45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45">
      <c r="B11" s="9" t="s">
        <v>14</v>
      </c>
      <c r="C11" s="11">
        <v>21.5</v>
      </c>
      <c r="D11" s="11">
        <v>20</v>
      </c>
      <c r="E11" s="11">
        <v>22</v>
      </c>
      <c r="F11" s="11">
        <v>18</v>
      </c>
      <c r="G11" s="11">
        <v>15</v>
      </c>
      <c r="H11" s="11">
        <v>22</v>
      </c>
      <c r="I11" s="11">
        <v>19</v>
      </c>
      <c r="J11" s="11">
        <v>21.5</v>
      </c>
      <c r="K11" s="11"/>
      <c r="L11" s="11"/>
      <c r="M11" s="11"/>
      <c r="N11" s="11"/>
      <c r="P11" s="59">
        <f>SUM(C11:N11)</f>
        <v>159</v>
      </c>
    </row>
    <row r="12" spans="2:16" x14ac:dyDescent="0.45">
      <c r="B12" s="9" t="s">
        <v>16</v>
      </c>
      <c r="C12" s="12">
        <v>0.5</v>
      </c>
      <c r="D12" s="12"/>
      <c r="E12" s="12">
        <v>1</v>
      </c>
      <c r="F12" s="12">
        <v>1</v>
      </c>
      <c r="G12" s="12">
        <v>5</v>
      </c>
      <c r="H12" s="12"/>
      <c r="I12" s="12">
        <v>1</v>
      </c>
      <c r="J12" s="12">
        <v>0.5</v>
      </c>
      <c r="K12" s="12"/>
      <c r="L12" s="12"/>
      <c r="M12" s="12"/>
      <c r="N12" s="12"/>
      <c r="P12" s="59">
        <f>SUM(C12:N12)</f>
        <v>9</v>
      </c>
    </row>
    <row r="13" spans="2:16" x14ac:dyDescent="0.45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45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45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45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45">
      <c r="B17" s="9" t="s">
        <v>6</v>
      </c>
      <c r="C17" s="10">
        <f>C11*Params!$C$5*(1-Params!$C$3)-Params!$C$4</f>
        <v>11199.6</v>
      </c>
      <c r="D17" s="10">
        <f>D11*Params!$C$6*(1-Params!$C$3)-Params!$C$4</f>
        <v>10965</v>
      </c>
      <c r="E17" s="10">
        <f>E11*Params!$C$6*(1-Params!$C$3)-Params!$C$4</f>
        <v>12069</v>
      </c>
      <c r="F17" s="10">
        <f>F11*Params!$C$6*(1-Params!$C$3)-Params!$C$4</f>
        <v>9861</v>
      </c>
      <c r="G17" s="10">
        <f>G11*Params!$C$6*(1-Params!$C$3)-Params!$C$4</f>
        <v>8205</v>
      </c>
      <c r="H17" s="10">
        <f>H11*Params!$C$6*(1-Params!$C$3)-Params!$C$4</f>
        <v>12069</v>
      </c>
      <c r="I17" s="10">
        <f>I11*Params!$C$6*(1-Params!$C$3)-Params!$C$4</f>
        <v>10413</v>
      </c>
      <c r="J17" s="10">
        <f>((4*Params!$C$6+17.5*Params!C7)*(1-Params!$C$3))-Params!$C$4</f>
        <v>12598</v>
      </c>
      <c r="K17" s="10"/>
      <c r="L17" s="10"/>
      <c r="M17" s="10"/>
      <c r="N17" s="10"/>
      <c r="O17" s="4"/>
      <c r="P17" s="41">
        <f>SUM(C17:N17)</f>
        <v>87379.6</v>
      </c>
    </row>
    <row r="18" spans="2:16" x14ac:dyDescent="0.45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45">
      <c r="B19" s="27" t="s">
        <v>2</v>
      </c>
      <c r="C19" s="28">
        <f t="shared" ref="C19:N19" si="1">SUM(C17:C18)</f>
        <v>11199.6</v>
      </c>
      <c r="D19" s="28">
        <f t="shared" si="1"/>
        <v>10965</v>
      </c>
      <c r="E19" s="28">
        <f t="shared" si="1"/>
        <v>12069</v>
      </c>
      <c r="F19" s="28">
        <f t="shared" si="1"/>
        <v>9861</v>
      </c>
      <c r="G19" s="28">
        <f t="shared" si="1"/>
        <v>8205</v>
      </c>
      <c r="H19" s="28">
        <f t="shared" si="1"/>
        <v>12069</v>
      </c>
      <c r="I19" s="28">
        <f t="shared" si="1"/>
        <v>10413</v>
      </c>
      <c r="J19" s="28">
        <f t="shared" si="1"/>
        <v>12598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SUM(C19:N19)</f>
        <v>87379.6</v>
      </c>
    </row>
    <row r="20" spans="2:16" x14ac:dyDescent="0.45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45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45">
      <c r="B22" s="9" t="s">
        <v>7</v>
      </c>
      <c r="C22" s="10">
        <v>5765.14</v>
      </c>
      <c r="D22" s="10">
        <v>5476.07</v>
      </c>
      <c r="E22" s="10">
        <v>5476.07</v>
      </c>
      <c r="F22" s="10">
        <v>5476.07</v>
      </c>
      <c r="G22" s="10">
        <v>5976.07</v>
      </c>
      <c r="H22" s="10">
        <v>5976.07</v>
      </c>
      <c r="I22" s="10">
        <v>5976.07</v>
      </c>
      <c r="J22" s="10">
        <v>11404.26</v>
      </c>
      <c r="K22" s="10"/>
      <c r="L22" s="10"/>
      <c r="M22" s="10"/>
      <c r="N22" s="10"/>
      <c r="O22" s="4"/>
      <c r="P22" s="43">
        <f>SUM(C22:N22)</f>
        <v>51525.82</v>
      </c>
    </row>
    <row r="23" spans="2:16" x14ac:dyDescent="0.45">
      <c r="B23" s="9" t="s">
        <v>8</v>
      </c>
      <c r="C23" s="10">
        <f>1250.13+2318.04</f>
        <v>3568.17</v>
      </c>
      <c r="D23" s="10">
        <f>1344.15+2528.5</f>
        <v>3872.65</v>
      </c>
      <c r="E23" s="10">
        <f>1344.15+2528.13</f>
        <v>3872.28</v>
      </c>
      <c r="F23" s="10">
        <f>1344.15+2528.95</f>
        <v>3873.1</v>
      </c>
      <c r="G23" s="10">
        <f>1344.15+2532</f>
        <v>3876.15</v>
      </c>
      <c r="H23" s="10">
        <f>1344.15+2533.8</f>
        <v>3877.9500000000003</v>
      </c>
      <c r="I23" s="10">
        <f>1344.15+2529.65</f>
        <v>3873.8</v>
      </c>
      <c r="J23" s="10">
        <f>1915.96+2530.47</f>
        <v>4446.43</v>
      </c>
      <c r="K23" s="10"/>
      <c r="L23" s="10"/>
      <c r="M23" s="10"/>
      <c r="N23" s="10"/>
      <c r="O23" s="4"/>
      <c r="P23" s="43">
        <f>SUM(C23:N23)</f>
        <v>31260.530000000002</v>
      </c>
    </row>
    <row r="24" spans="2:16" x14ac:dyDescent="0.45">
      <c r="B24" s="55" t="s">
        <v>40</v>
      </c>
      <c r="C24" s="10">
        <v>592.03</v>
      </c>
      <c r="D24" s="10">
        <v>568.6</v>
      </c>
      <c r="E24" s="10">
        <v>592.03</v>
      </c>
      <c r="F24" s="10">
        <v>544.31200000000001</v>
      </c>
      <c r="G24" s="10">
        <v>470.26</v>
      </c>
      <c r="H24" s="10">
        <v>643.048</v>
      </c>
      <c r="I24" s="10">
        <v>568.99599999999998</v>
      </c>
      <c r="J24" s="10">
        <v>643.048</v>
      </c>
      <c r="K24" s="10"/>
      <c r="L24" s="10"/>
      <c r="M24" s="10"/>
      <c r="N24" s="10"/>
      <c r="O24" s="4"/>
      <c r="P24" s="43">
        <f>SUM(C24:N24)</f>
        <v>4622.3239999999996</v>
      </c>
    </row>
    <row r="25" spans="2:16" x14ac:dyDescent="0.45">
      <c r="B25" s="55" t="s">
        <v>43</v>
      </c>
      <c r="C25" s="10">
        <v>781.25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>SUM(C25:N25)</f>
        <v>781.25</v>
      </c>
    </row>
    <row r="26" spans="2:16" x14ac:dyDescent="0.45">
      <c r="B26" s="69" t="s">
        <v>3</v>
      </c>
      <c r="C26" s="44">
        <f t="shared" ref="C26:N26" si="2">SUM(C22:C25)</f>
        <v>10706.590000000002</v>
      </c>
      <c r="D26" s="44">
        <f t="shared" si="2"/>
        <v>9917.32</v>
      </c>
      <c r="E26" s="44">
        <f t="shared" si="2"/>
        <v>9940.380000000001</v>
      </c>
      <c r="F26" s="44">
        <f t="shared" si="2"/>
        <v>9893.482</v>
      </c>
      <c r="G26" s="44">
        <f t="shared" si="2"/>
        <v>10322.48</v>
      </c>
      <c r="H26" s="44">
        <f t="shared" si="2"/>
        <v>10497.068000000001</v>
      </c>
      <c r="I26" s="44">
        <f t="shared" si="2"/>
        <v>10418.865999999998</v>
      </c>
      <c r="J26" s="44">
        <f t="shared" si="2"/>
        <v>16493.738000000001</v>
      </c>
      <c r="K26" s="44">
        <f t="shared" si="2"/>
        <v>0</v>
      </c>
      <c r="L26" s="44">
        <f t="shared" si="2"/>
        <v>0</v>
      </c>
      <c r="M26" s="44">
        <f t="shared" si="2"/>
        <v>0</v>
      </c>
      <c r="N26" s="44">
        <f t="shared" si="2"/>
        <v>0</v>
      </c>
      <c r="O26" s="4"/>
      <c r="P26" s="61">
        <f>SUM(C26:N26)</f>
        <v>88189.923999999999</v>
      </c>
    </row>
    <row r="28" spans="2:16" x14ac:dyDescent="0.45">
      <c r="B28" s="66" t="s">
        <v>42</v>
      </c>
      <c r="C28" s="67"/>
      <c r="D28" s="70">
        <v>500</v>
      </c>
      <c r="E28" s="67">
        <v>500</v>
      </c>
      <c r="F28" s="67">
        <v>500</v>
      </c>
      <c r="G28" s="67"/>
      <c r="H28" s="67"/>
      <c r="I28" s="67"/>
      <c r="J28" s="67"/>
      <c r="K28" s="67"/>
      <c r="L28" s="67"/>
      <c r="M28" s="67"/>
      <c r="N28" s="67"/>
      <c r="P28" s="68">
        <f>SUM(C28:N28)</f>
        <v>1500</v>
      </c>
    </row>
    <row r="30" spans="2:16" x14ac:dyDescent="0.45">
      <c r="B30" s="46" t="s">
        <v>36</v>
      </c>
      <c r="C30" s="47">
        <f t="shared" ref="C30:N30" si="3">C19-C26</f>
        <v>493.0099999999984</v>
      </c>
      <c r="D30" s="47">
        <f t="shared" si="3"/>
        <v>1047.6800000000003</v>
      </c>
      <c r="E30" s="47">
        <f t="shared" si="3"/>
        <v>2128.619999999999</v>
      </c>
      <c r="F30" s="47">
        <f t="shared" si="3"/>
        <v>-32.481999999999971</v>
      </c>
      <c r="G30" s="47">
        <f t="shared" si="3"/>
        <v>-2117.4799999999996</v>
      </c>
      <c r="H30" s="47">
        <f t="shared" si="3"/>
        <v>1571.9319999999989</v>
      </c>
      <c r="I30" s="47">
        <f t="shared" si="3"/>
        <v>-5.8659999999981665</v>
      </c>
      <c r="J30" s="47">
        <f t="shared" si="3"/>
        <v>-3895.7380000000012</v>
      </c>
      <c r="K30" s="47">
        <f t="shared" si="3"/>
        <v>0</v>
      </c>
      <c r="L30" s="47">
        <f t="shared" si="3"/>
        <v>0</v>
      </c>
      <c r="M30" s="47">
        <f t="shared" si="3"/>
        <v>0</v>
      </c>
      <c r="N30" s="47">
        <f t="shared" si="3"/>
        <v>0</v>
      </c>
      <c r="P30" s="60">
        <f>SUM(C30:N30)</f>
        <v>-810.32400000000234</v>
      </c>
    </row>
    <row r="32" spans="2:16" x14ac:dyDescent="0.45">
      <c r="B32" s="63" t="s">
        <v>37</v>
      </c>
      <c r="C32" s="54">
        <v>1386</v>
      </c>
      <c r="D32" s="54">
        <v>1320</v>
      </c>
      <c r="E32" s="54">
        <v>1386</v>
      </c>
      <c r="F32" s="54">
        <v>1188</v>
      </c>
      <c r="G32" s="54">
        <v>990</v>
      </c>
      <c r="H32" s="54">
        <v>1452</v>
      </c>
      <c r="I32" s="54">
        <v>1254</v>
      </c>
      <c r="J32" s="54">
        <v>1452</v>
      </c>
      <c r="K32" s="54"/>
      <c r="L32" s="54"/>
      <c r="M32" s="54"/>
      <c r="N32" s="54"/>
      <c r="P32" s="62">
        <f>SUM(C32:N32)</f>
        <v>10428</v>
      </c>
    </row>
    <row r="33" spans="2:16" x14ac:dyDescent="0.45">
      <c r="B33" s="63" t="s">
        <v>38</v>
      </c>
      <c r="C33" s="54">
        <v>592.03</v>
      </c>
      <c r="D33" s="54">
        <v>568.6</v>
      </c>
      <c r="E33" s="54">
        <v>592.03</v>
      </c>
      <c r="F33" s="54">
        <v>544.31200000000001</v>
      </c>
      <c r="G33" s="54">
        <v>470.26</v>
      </c>
      <c r="H33" s="54">
        <v>643.048</v>
      </c>
      <c r="I33" s="54">
        <v>568.99599999999998</v>
      </c>
      <c r="J33" s="54">
        <v>643.048</v>
      </c>
      <c r="K33" s="54"/>
      <c r="L33" s="54"/>
      <c r="M33" s="54"/>
      <c r="N33" s="54"/>
      <c r="P33" s="62">
        <f>SUM(C33:N33)</f>
        <v>4622.3239999999996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7"/>
  <sheetViews>
    <sheetView workbookViewId="0">
      <selection activeCell="C7" sqref="C7"/>
    </sheetView>
  </sheetViews>
  <sheetFormatPr baseColWidth="10" defaultRowHeight="14.25" x14ac:dyDescent="0.45"/>
  <cols>
    <col min="1" max="1" width="2" customWidth="1"/>
    <col min="2" max="2" width="32" customWidth="1"/>
    <col min="3" max="3" width="28.796875" customWidth="1"/>
  </cols>
  <sheetData>
    <row r="2" spans="2:3" ht="30" customHeight="1" x14ac:dyDescent="0.45">
      <c r="B2" s="73" t="s">
        <v>23</v>
      </c>
      <c r="C2" s="74"/>
    </row>
    <row r="3" spans="2:3" ht="30" customHeight="1" x14ac:dyDescent="0.45">
      <c r="B3" s="33" t="s">
        <v>12</v>
      </c>
      <c r="C3" s="34">
        <v>0.08</v>
      </c>
    </row>
    <row r="4" spans="2:3" ht="30" customHeight="1" x14ac:dyDescent="0.45">
      <c r="B4" s="33" t="s">
        <v>13</v>
      </c>
      <c r="C4" s="33">
        <v>75</v>
      </c>
    </row>
    <row r="5" spans="2:3" ht="30" customHeight="1" x14ac:dyDescent="0.45">
      <c r="B5" s="33" t="s">
        <v>44</v>
      </c>
      <c r="C5" s="33">
        <v>570</v>
      </c>
    </row>
    <row r="6" spans="2:3" ht="25.9" customHeight="1" x14ac:dyDescent="0.45">
      <c r="B6" s="33" t="s">
        <v>45</v>
      </c>
      <c r="C6" s="33">
        <v>600</v>
      </c>
    </row>
    <row r="7" spans="2:3" x14ac:dyDescent="0.45">
      <c r="B7" s="33" t="s">
        <v>46</v>
      </c>
      <c r="C7" s="33">
        <v>650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4" sqref="C4"/>
    </sheetView>
  </sheetViews>
  <sheetFormatPr baseColWidth="10" defaultRowHeight="14.25" x14ac:dyDescent="0.45"/>
  <cols>
    <col min="2" max="2" width="20.33203125" customWidth="1"/>
  </cols>
  <sheetData>
    <row r="2" spans="2:3" ht="16.899999999999999" customHeight="1" x14ac:dyDescent="0.45">
      <c r="B2" s="75" t="s">
        <v>33</v>
      </c>
      <c r="C2" s="75"/>
    </row>
    <row r="3" spans="2:3" ht="16.899999999999999" customHeight="1" x14ac:dyDescent="0.45">
      <c r="B3" s="38" t="s">
        <v>34</v>
      </c>
      <c r="C3" s="39">
        <f>SUM('2022'!P30,'2023'!P30)</f>
        <v>-281.24400000000242</v>
      </c>
    </row>
    <row r="4" spans="2:3" ht="16.899999999999999" customHeight="1" x14ac:dyDescent="0.45">
      <c r="B4" s="38" t="s">
        <v>39</v>
      </c>
      <c r="C4" s="40">
        <f>'2022'!P12+'2023'!P12</f>
        <v>9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70</vt:i4>
      </vt:variant>
    </vt:vector>
  </HeadingPairs>
  <TitlesOfParts>
    <vt:vector size="74" baseType="lpstr">
      <vt:lpstr>2022</vt:lpstr>
      <vt:lpstr>2023</vt:lpstr>
      <vt:lpstr>Params</vt:lpstr>
      <vt:lpstr>Synthése</vt:lpstr>
      <vt:lpstr>'2023'!AOUT</vt:lpstr>
      <vt:lpstr>AOUT</vt:lpstr>
      <vt:lpstr>'2023'!AVRIL</vt:lpstr>
      <vt:lpstr>AVRIL</vt:lpstr>
      <vt:lpstr>'2022'!CRA</vt:lpstr>
      <vt:lpstr>'2023'!CRA</vt:lpstr>
      <vt:lpstr>'2022'!CRA_ASTREINTE</vt:lpstr>
      <vt:lpstr>'2023'!CRA_ASTREINTE</vt:lpstr>
      <vt:lpstr>'2022'!CRA_CP</vt:lpstr>
      <vt:lpstr>'2023'!CRA_CP</vt:lpstr>
      <vt:lpstr>'2022'!CRA_PRODUCTION</vt:lpstr>
      <vt:lpstr>'2023'!CRA_PRODUCTION</vt:lpstr>
      <vt:lpstr>'2022'!CRA_SANS_SOLDE</vt:lpstr>
      <vt:lpstr>'2023'!CRA_SANS_SOLDE</vt:lpstr>
      <vt:lpstr>'2022'!DECEMBRE</vt:lpstr>
      <vt:lpstr>'2023'!DECEMBRE</vt:lpstr>
      <vt:lpstr>'2022'!ENTREES</vt:lpstr>
      <vt:lpstr>'2023'!ENTREES</vt:lpstr>
      <vt:lpstr>'2022'!ENTREES_ASTREINTE</vt:lpstr>
      <vt:lpstr>'2023'!ENTREES_ASTREINTE</vt:lpstr>
      <vt:lpstr>'2022'!ENTREES_FACTURE</vt:lpstr>
      <vt:lpstr>'2023'!ENTREES_FACTURE</vt:lpstr>
      <vt:lpstr>'2023'!FEVRIER</vt:lpstr>
      <vt:lpstr>FEVRIER</vt:lpstr>
      <vt:lpstr>'2022'!FRAIS_KM</vt:lpstr>
      <vt:lpstr>'2023'!FRAIS_KM</vt:lpstr>
      <vt:lpstr>'2023'!JANVIER</vt:lpstr>
      <vt:lpstr>JANVIER</vt:lpstr>
      <vt:lpstr>'2023'!JUILLET</vt:lpstr>
      <vt:lpstr>JUILLET</vt:lpstr>
      <vt:lpstr>'2023'!JUIN</vt:lpstr>
      <vt:lpstr>JUIN</vt:lpstr>
      <vt:lpstr>'2023'!MAI</vt:lpstr>
      <vt:lpstr>MAI</vt:lpstr>
      <vt:lpstr>'2023'!MARS</vt:lpstr>
      <vt:lpstr>MARS</vt:lpstr>
      <vt:lpstr>'2022'!MOIS</vt:lpstr>
      <vt:lpstr>'2023'!MOIS</vt:lpstr>
      <vt:lpstr>'2022'!NOMBRE_KM</vt:lpstr>
      <vt:lpstr>'2023'!NOMBRE_KM</vt:lpstr>
      <vt:lpstr>'2022'!NOVEMBRE</vt:lpstr>
      <vt:lpstr>'2023'!NOVEMBRE</vt:lpstr>
      <vt:lpstr>'2023'!OCTOBRE</vt:lpstr>
      <vt:lpstr>OCTOBRE</vt:lpstr>
      <vt:lpstr>'2022'!REPAS</vt:lpstr>
      <vt:lpstr>'2023'!REPAS</vt:lpstr>
      <vt:lpstr>'2022'!REPAS_ACQUIS</vt:lpstr>
      <vt:lpstr>'2023'!REPAS_ACQUIS</vt:lpstr>
      <vt:lpstr>'2022'!REPAS_PRIS</vt:lpstr>
      <vt:lpstr>'2023'!REPAS_PRIS</vt:lpstr>
      <vt:lpstr>'2022'!REPAS_SOLDE</vt:lpstr>
      <vt:lpstr>'2023'!REPAS_SOLDE</vt:lpstr>
      <vt:lpstr>'2023'!SEPTEMBRE</vt:lpstr>
      <vt:lpstr>SEPTEMBRE</vt:lpstr>
      <vt:lpstr>'2022'!SOLDE</vt:lpstr>
      <vt:lpstr>'2023'!SOLDE</vt:lpstr>
      <vt:lpstr>'2022'!SORTIES</vt:lpstr>
      <vt:lpstr>'2023'!SORTIES</vt:lpstr>
      <vt:lpstr>'2022'!SORTIES_CHARGES_SOCIALES_PATRONALES</vt:lpstr>
      <vt:lpstr>'2023'!SORTIES_CHARGES_SOCIALES_PATRONALES</vt:lpstr>
      <vt:lpstr>'2022'!SORTIES_FRAIS_KM</vt:lpstr>
      <vt:lpstr>'2023'!SORTIES_FRAIS_KM</vt:lpstr>
      <vt:lpstr>'2022'!SORTIES_SALAIRE_NET</vt:lpstr>
      <vt:lpstr>'2023'!SORTIES_SALAIRE_NET</vt:lpstr>
      <vt:lpstr>'2022'!TOTAL</vt:lpstr>
      <vt:lpstr>'2023'!TOTAL</vt:lpstr>
      <vt:lpstr>'2022'!TOTAL_ENTREES</vt:lpstr>
      <vt:lpstr>'2023'!TOTAL_ENTREES</vt:lpstr>
      <vt:lpstr>'2022'!TOTAL_SORTIES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2023-09-04T14:33:00Z</dcterms:modified>
</cp:coreProperties>
</file>