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935496D7-1F68-4F18-82E9-A07D847173E7}" xr6:coauthVersionLast="47" xr6:coauthVersionMax="47" xr10:uidLastSave="{00000000-0000-0000-0000-000000000000}"/>
  <x:bookViews>
    <x:workbookView xWindow="-108" yWindow="-108" windowWidth="23256" windowHeight="14856" activeTab="2"/>
  </x:bookViews>
  <x:sheets>
    <x:sheet name="2023" sheetId="15" r:id="rId1"/>
    <x:sheet name="2024" sheetId="16" r:id="rId2"/>
    <x:sheet name="2025" sheetId="17" r:id="rId3"/>
    <x:sheet name="Params" sheetId="10" r:id="rId4"/>
    <x:sheet name="Synthése" sheetId="13" r:id="rId5"/>
  </x:sheets>
  <x:definedNames>
    <x:definedName name="AOUT" localSheetId="0">'2023'!$J$3</x:definedName>
    <x:definedName name="AOUT" localSheetId="1">'2024'!$J$3</x:definedName>
    <x:definedName name="AOUT" localSheetId="2">'2025'!$J$3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 localSheetId="2">'2025'!#REF!</x:definedName>
    <x:definedName name="AVANCE_SUR_SALAIRE">#REF!</x:definedName>
    <x:definedName name="AVRIL" localSheetId="0">'2023'!$F$3</x:definedName>
    <x:definedName name="AVRIL" localSheetId="1">'2024'!$F$3</x:definedName>
    <x:definedName name="AVRIL" localSheetId="2">'2025'!$F$3</x:definedName>
    <x:definedName name="AVRIL">#REF!</x:definedName>
    <x:definedName name="CRA" localSheetId="0">'2023'!$B$10</x:definedName>
    <x:definedName name="CRA" localSheetId="1">'2024'!$B$10</x:definedName>
    <x:definedName name="CRA" localSheetId="2">'2025'!$B$10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 localSheetId="2">'2025'!$B$14</x:definedName>
    <x:definedName name="CRA_ASTREINTE">#REF!</x:definedName>
    <x:definedName name="CRA_CP" localSheetId="0">'2023'!$B$12</x:definedName>
    <x:definedName name="CRA_CP" localSheetId="1">'2024'!$B$12</x:definedName>
    <x:definedName name="CRA_CP" localSheetId="2">'2025'!$B$12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 localSheetId="2">'2025'!$B$11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 localSheetId="2">'2025'!$B$13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 localSheetId="2">'2025'!$N$3</x:definedName>
    <x:definedName name="DECEMBRE">#REF!</x:definedName>
    <x:definedName name="ENTREES" localSheetId="0">'2023'!$B$16</x:definedName>
    <x:definedName name="ENTREES" localSheetId="1">'2024'!$B$16</x:definedName>
    <x:definedName name="ENTREES" localSheetId="2">'2025'!$B$16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 localSheetId="2">'2025'!$B$18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 localSheetId="2">'2025'!$B$17</x:definedName>
    <x:definedName name="ENTREES_FACTURE">#REF!</x:definedName>
    <x:definedName name="FEVRIER" localSheetId="0">'2023'!$D$3</x:definedName>
    <x:definedName name="FEVRIER" localSheetId="1">'2024'!$D$3</x:definedName>
    <x:definedName name="FEVRIER" localSheetId="2">'2025'!$D$3</x:definedName>
    <x:definedName name="FEVRIER">#REF!</x:definedName>
    <x:definedName name="JANVIER" localSheetId="0">'2023'!$C$3</x:definedName>
    <x:definedName name="JANVIER" localSheetId="1">'2024'!$C$3</x:definedName>
    <x:definedName name="JANVIER" localSheetId="2">'2025'!$C$3</x:definedName>
    <x:definedName name="JANVIER">#REF!</x:definedName>
    <x:definedName name="JUILLET" localSheetId="0">'2023'!$I$3</x:definedName>
    <x:definedName name="JUILLET" localSheetId="1">'2024'!$I$3</x:definedName>
    <x:definedName name="JUILLET" localSheetId="2">'2025'!$I$3</x:definedName>
    <x:definedName name="JUILLET">#REF!</x:definedName>
    <x:definedName name="JUIN" localSheetId="0">'2023'!$H$3</x:definedName>
    <x:definedName name="JUIN" localSheetId="1">'2024'!$H$3</x:definedName>
    <x:definedName name="JUIN" localSheetId="2">'2025'!$H$3</x:definedName>
    <x:definedName name="JUIN">#REF!</x:definedName>
    <x:definedName name="MAI" localSheetId="0">'2023'!$G$3</x:definedName>
    <x:definedName name="MAI" localSheetId="1">'2024'!$G$3</x:definedName>
    <x:definedName name="MAI" localSheetId="2">'2025'!$G$3</x:definedName>
    <x:definedName name="MAI">#REF!</x:definedName>
    <x:definedName name="MARS" localSheetId="0">'2023'!$E$3</x:definedName>
    <x:definedName name="MARS" localSheetId="1">'2024'!$E$3</x:definedName>
    <x:definedName name="MARS" localSheetId="2">'2025'!$E$3</x:definedName>
    <x:definedName name="MARS">#REF!</x:definedName>
    <x:definedName name="MOIS" localSheetId="0">'2023'!$B$3</x:definedName>
    <x:definedName name="MOIS" localSheetId="1">'2024'!$B$3</x:definedName>
    <x:definedName name="MOIS" localSheetId="2">'2025'!$B$3</x:definedName>
    <x:definedName name="MOIS">#REF!</x:definedName>
    <x:definedName name="NOVEMBRE" localSheetId="0">'2023'!$M$3</x:definedName>
    <x:definedName name="NOVEMBRE" localSheetId="1">'2024'!$M$3</x:definedName>
    <x:definedName name="NOVEMBRE" localSheetId="2">'2025'!$M$3</x:definedName>
    <x:definedName name="NOVEMBRE">#REF!</x:definedName>
    <x:definedName name="OCTOBRE" localSheetId="0">'2023'!$L$3</x:definedName>
    <x:definedName name="OCTOBRE" localSheetId="1">'2024'!$L$3</x:definedName>
    <x:definedName name="OCTOBRE" localSheetId="2">'2025'!$L$3</x:definedName>
    <x:definedName name="OCTOBRE">#REF!</x:definedName>
    <x:definedName name="REPAS" localSheetId="0">'2023'!$B$5</x:definedName>
    <x:definedName name="REPAS" localSheetId="1">'2024'!$B$5</x:definedName>
    <x:definedName name="REPAS" localSheetId="2">'2025'!$B$5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 localSheetId="2">'2025'!$B$7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 localSheetId="2">'2025'!$B$6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 localSheetId="2">'2025'!$B$8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 localSheetId="2">'2025'!$K$3</x:definedName>
    <x:definedName name="SEPTEMBRE">#REF!</x:definedName>
    <x:definedName name="SOLDE" localSheetId="0">'2023'!$B$26</x:definedName>
    <x:definedName name="SOLDE" localSheetId="1">'2024'!$B$27</x:definedName>
    <x:definedName name="SOLDE" localSheetId="2">'2025'!$B$27</x:definedName>
    <x:definedName name="SORTIES" localSheetId="0">'2023'!$B$21</x:definedName>
    <x:definedName name="SORTIES" localSheetId="1">'2024'!$B$21</x:definedName>
    <x:definedName name="SORTIES" localSheetId="2">'2025'!$B$21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 localSheetId="2">'2025'!#REF!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 localSheetId="2">'2025'!$B$23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 localSheetId="2">'2025'!#REF!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 localSheetId="2">'2025'!#REF!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 localSheetId="2">'2025'!$B$22</x:definedName>
    <x:definedName name="SORTIES_SALAIRE_NET">#REF!</x:definedName>
    <x:definedName name="TOTAL" localSheetId="0">'2023'!$P$3</x:definedName>
    <x:definedName name="TOTAL" localSheetId="1">'2024'!$P$3</x:definedName>
    <x:definedName name="TOTAL" localSheetId="2">'2025'!$P$3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 localSheetId="2">'2025'!$B$19</x:definedName>
    <x:definedName name="TOTAL_ENTREES">#REF!</x:definedName>
    <x:definedName name="TOTAL_SORTIES" localSheetId="0">'2023'!$B$24</x:definedName>
    <x:definedName name="TOTAL_SORTIES" localSheetId="1">'2024'!$B$25</x:definedName>
    <x:definedName name="TOTAL_SORTIES" localSheetId="2">'2025'!$B$25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<sst xmlns="http://schemas.openxmlformats.org/spreadsheetml/2006/main" count="109" uniqueCount="41">
  <si>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</si>
  <si>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</si>
  <si>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</si>
  <si>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</si>
  <si>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</si>
  <si>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</si>
  <si>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</si>
  <si>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</si>
  <si>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</si>
  <si>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</si>
  <si>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</si>
  <si>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</si>
  <si>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</si>
  <si>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</si>
  <si>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</si>
  <si>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</si>
  <si>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</si>
  <si>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</si>
  <si>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</si>
  <si>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</si>
  <si>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</si>
  <si>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</si>
  <si>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</si>
  <si>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</si>
  <si>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</si>
  <si>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</si>
  <si>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</si>
  <si>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</si>
  <si>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</si>
  <si>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</si>
  <si>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</si>
  <si>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</si>
  <si>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</si>
  <si>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</si>
  <si>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</si>
  <si>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</si>
  <si>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</si>
  <si>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</si>
  <si>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(Juillet 2023)</t>
  </si>
  <si>
    <t>Achat HT</t>
  </si>
  <si>
    <t>Solde Congé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</si>
</sst>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C25" sqref="C25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2" t="s">
        <x:v>9</x:v>
      </x:c>
    </x:row>
    <x:row r="2" spans="2:16" x14ac:dyDescent="0.3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/>
      <x:c r="D6" s="56"/>
      <x:c r="E6" s="56"/>
      <x:c r="F6" s="33"/>
      <x:c r="G6" s="33"/>
      <x:c r="H6" s="33"/>
      <x:c r="I6" s="33">
        <x:v>14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109</x:v>
      </x:c>
    </x:row>
    <x:row r="7" spans="2:16" x14ac:dyDescent="0.3">
      <x:c r="B7" s="8" t="s">
        <x:v>20</x:v>
      </x:c>
      <x:c r="C7" s="33"/>
      <x:c r="D7" s="33"/>
      <x:c r="E7" s="33"/>
      <x:c r="F7" s="33"/>
      <x:c r="G7" s="33"/>
      <x:c r="H7" s="33"/>
      <x:c r="I7" s="33">
        <x:v>13</x:v>
      </x:c>
      <x:c r="J7" s="33">
        <x:v>20</x:v>
      </x:c>
      <x:c r="K7" s="33">
        <x:v>20</x:v>
      </x:c>
      <x:c r="L7" s="33">
        <x:v>19</x:v>
      </x:c>
      <x:c r="M7" s="33">
        <x:v>20</x:v>
      </x:c>
      <x:c r="N7" s="33">
        <x:v>19</x:v>
      </x:c>
      <x:c r="O7" s="31"/>
      <x:c r="P7" s="52">
        <x:f>SUM(C7:N7)</x:f>
        <x:v>111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-1</x:v>
      </x:c>
      <x:c r="J8" s="32">
        <x:f t="shared" si="0"/>
        <x:v>1</x:v>
      </x:c>
      <x:c r="K8" s="32">
        <x:f t="shared" si="0"/>
        <x:v>1</x:v>
      </x:c>
      <x:c r="L8" s="32">
        <x:f t="shared" si="0"/>
        <x:v>0</x:v>
      </x:c>
      <x:c r="M8" s="32">
        <x:f t="shared" si="0"/>
        <x:v>1</x:v>
      </x:c>
      <x:c r="N8" s="32">
        <x:f t="shared" si="0"/>
        <x:v>0</x:v>
      </x:c>
      <x:c r="O8" s="31"/>
      <x:c r="P8" s="52">
        <x:f>SUM(C8:N8)</x:f>
        <x:v>2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/>
      <x:c r="D11" s="10"/>
      <x:c r="E11" s="10"/>
      <x:c r="F11" s="10"/>
      <x:c r="G11" s="10"/>
      <x:c r="H11" s="10"/>
      <x:c r="I11" s="10">
        <x:v>13</x:v>
      </x:c>
      <x:c r="J11" s="10">
        <x:v>20.5</x:v>
      </x:c>
      <x:c r="K11" s="10">
        <x:v>20</x:v>
      </x:c>
      <x:c r="L11" s="10">
        <x:v>19</x:v>
      </x:c>
      <x:c r="M11" s="10">
        <x:v>20</x:v>
      </x:c>
      <x:c r="N11" s="10">
        <x:v>19</x:v>
      </x:c>
      <x:c r="P11" s="53">
        <x:f>SUM(C11:N11)</x:f>
        <x:v>111.5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>
        <x:v>1.5</x:v>
      </x:c>
      <x:c r="K12" s="11">
        <x:v>1</x:v>
      </x:c>
      <x:c r="L12" s="11">
        <x:v>3</x:v>
      </x:c>
      <x:c r="M12" s="11">
        <x:v>1</x:v>
      </x:c>
      <x:c r="N12" s="11">
        <x:v>1</x:v>
      </x:c>
      <x:c r="P12" s="53">
        <x:f>SUM(C12:N12)</x:f>
        <x:v>7.5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/>
      <x:c r="D17" s="9"/>
      <x:c r="E17" s="9"/>
      <x:c r="F17" s="9"/>
      <x:c r="G17" s="9"/>
      <x:c r="H17" s="9"/>
      <x:c r="I17" s="9">
        <x:f>I11*Params!$C$5*(1-Params!$C$3)-Params!$C$4</x:f>
        <x:v>5307</x:v>
      </x:c>
      <x:c r="J17" s="9">
        <x:f>J11*Params!$C$5*(1-Params!$C$3)-Params!$C$4</x:f>
        <x:v>8412</x:v>
      </x:c>
      <x:c r="K17" s="9">
        <x:f>K11*Params!$C$5*(1-Params!$C$3)-Params!$C$4</x:f>
        <x:v>8205</x:v>
      </x:c>
      <x:c r="L17" s="9">
        <x:f>L11*Params!$C$5*(1-Params!$C$3)-Params!$C$4</x:f>
        <x:v>7791</x:v>
      </x:c>
      <x:c r="M17" s="9">
        <x:f>M11*Params!$C$5*(1-Params!$C$3)-Params!$C$4</x:f>
        <x:v>8205</x:v>
      </x:c>
      <x:c r="N17" s="9">
        <x:f>N11*Params!$C$5*(1-Params!$C$3)-Params!$C$4</x:f>
        <x:v>7791</x:v>
      </x:c>
      <x:c r="O17" s="4"/>
      <x:c r="P17" s="37">
        <x:f>SUM(C17:N17)</x:f>
        <x:v>45711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5307</x:v>
      </x:c>
      <x:c r="J19" s="25">
        <x:f t="shared" si="1"/>
        <x:v>8412</x:v>
      </x:c>
      <x:c r="K19" s="25">
        <x:f t="shared" si="1"/>
        <x:v>8205</x:v>
      </x:c>
      <x:c r="L19" s="25">
        <x:f t="shared" si="1"/>
        <x:v>7791</x:v>
      </x:c>
      <x:c r="M19" s="25">
        <x:f t="shared" si="1"/>
        <x:v>8205</x:v>
      </x:c>
      <x:c r="N19" s="25">
        <x:f t="shared" si="1"/>
        <x:v>7791</x:v>
      </x:c>
      <x:c r="O19" s="5"/>
      <x:c r="P19" s="38">
        <x:f>SUM(C19:O19)</x:f>
        <x:v>45711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/>
      <x:c r="D22" s="9"/>
      <x:c r="E22" s="9"/>
      <x:c r="F22" s="9"/>
      <x:c r="G22" s="9"/>
      <x:c r="H22" s="9"/>
      <x:c r="I22" s="9">
        <x:v>3272.82</x:v>
      </x:c>
      <x:c r="J22" s="9">
        <x:v>5003.4399999999996</x:v>
      </x:c>
      <x:c r="K22" s="9">
        <x:v>5003.4399999999996</x:v>
      </x:c>
      <x:c r="L22" s="9">
        <x:v>5003.4399999999996</x:v>
      </x:c>
      <x:c r="M22" s="9">
        <x:v>5003.4399999999996</x:v>
      </x:c>
      <x:c r="N22" s="9">
        <x:v>5003.4399999999996</x:v>
      </x:c>
      <x:c r="O22" s="4"/>
      <x:c r="P22" s="39">
        <x:f>SUM(C22:N22)</x:f>
        <x:v>28290.019999999997</x:v>
      </x:c>
    </x:row>
    <x:row r="23" spans="2:16" x14ac:dyDescent="0.3">
      <x:c r="B23" s="8" t="s">
        <x:v>8</x:v>
      </x:c>
      <x:c r="C23" s="9"/>
      <x:c r="D23" s="9"/>
      <x:c r="E23" s="9"/>
      <x:c r="F23" s="9"/>
      <x:c r="G23" s="9"/>
      <x:c r="H23" s="9"/>
      <x:c r="I23" s="9">
        <x:f>696.54+1136.12</x:f>
        <x:v>1832.6599999999999</x:v>
      </x:c>
      <x:c r="J23" s="9">
        <x:f>1052.36+1729.13</x:f>
        <x:v>2781.49</x:v>
      </x:c>
      <x:c r="K23" s="9">
        <x:f>1052.36+1731.72</x:f>
        <x:v>2784.08</x:v>
      </x:c>
      <x:c r="L23" s="9">
        <x:f>1052.36+1730.85</x:f>
        <x:v>2783.21</x:v>
      </x:c>
      <x:c r="M23" s="9">
        <x:f>1052.36+1734.32</x:f>
        <x:v>2786.68</x:v>
      </x:c>
      <x:c r="N23" s="9">
        <x:f>1052.36+1730.85</x:f>
        <x:v>2783.21</x:v>
      </x:c>
      <x:c r="O23" s="4"/>
      <x:c r="P23" s="39">
        <x:f>SUM(C23:N23)</x:f>
        <x:v>15751.329999999998</x:v>
      </x:c>
    </x:row>
    <x:row r="24" spans="2:16" x14ac:dyDescent="0.3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5105.4799999999996</x:v>
      </x:c>
      <x:c r="J24" s="40">
        <x:f t="shared" si="2"/>
        <x:v>7784.9299999999994</x:v>
      </x:c>
      <x:c r="K24" s="40">
        <x:f t="shared" si="2"/>
        <x:v>7787.5199999999995</x:v>
      </x:c>
      <x:c r="L24" s="40">
        <x:f t="shared" si="2"/>
        <x:v>7786.65</x:v>
      </x:c>
      <x:c r="M24" s="40">
        <x:f t="shared" si="2"/>
        <x:v>7790.119999999999</x:v>
      </x:c>
      <x:c r="N24" s="40">
        <x:f t="shared" si="2"/>
        <x:v>7786.65</x:v>
      </x:c>
      <x:c r="O24" s="4"/>
      <x:c r="P24" s="41">
        <x:f>SUM(C24:N24)</x:f>
        <x:v>44041.35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201.52000000000044</x:v>
      </x:c>
      <x:c r="J26" s="44">
        <x:f t="shared" si="3"/>
        <x:v>627.07000000000062</x:v>
      </x:c>
      <x:c r="K26" s="44">
        <x:f t="shared" si="3"/>
        <x:v>417.48000000000047</x:v>
      </x:c>
      <x:c r="L26" s="44">
        <x:f t="shared" si="3"/>
        <x:v>4.3500000000003638</x:v>
      </x:c>
      <x:c r="M26" s="44">
        <x:f t="shared" si="3"/>
        <x:v>414.88000000000102</x:v>
      </x:c>
      <x:c r="N26" s="44">
        <x:f t="shared" si="3"/>
        <x:v>4.3500000000003638</x:v>
      </x:c>
      <x:c r="P26" s="54">
        <x:f>SUM(C26:O26)</x:f>
        <x:v>1669.6500000000033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85B4FBB-623B-40CF-A3D5-4FEA75285021}" mc:Ignorable="x14ac xr xr2 xr3">
  <x:dimension ref="B1:P27"/>
  <x:sheetViews>
    <x:sheetView workbookViewId="0">
      <x:selection activeCell="I25" sqref="I25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2" t="s">
        <x:v>9</x:v>
      </x:c>
    </x:row>
    <x:row r="2" spans="2:16" x14ac:dyDescent="0.3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228</x:v>
      </x:c>
    </x:row>
    <x:row r="7" spans="2:16" x14ac:dyDescent="0.3">
      <x:c r="B7" s="8" t="s">
        <x:v>20</x:v>
      </x:c>
      <x:c r="C7" s="33">
        <x:v>22</x:v>
      </x:c>
      <x:c r="D7" s="33">
        <x:v>21</x:v>
      </x:c>
      <x:c r="E7" s="33">
        <x:v>20</x:v>
      </x:c>
      <x:c r="F7" s="33">
        <x:v>21</x:v>
      </x:c>
      <x:c r="G7" s="33">
        <x:v>17</x:v>
      </x:c>
      <x:c r="H7" s="33">
        <x:v>18</x:v>
      </x:c>
      <x:c r="I7" s="33">
        <x:v>22</x:v>
      </x:c>
      <x:c r="J7" s="33">
        <x:v>19</x:v>
      </x:c>
      <x:c r="K7" s="33">
        <x:v>20</x:v>
      </x:c>
      <x:c r="L7" s="33">
        <x:v>22</x:v>
      </x:c>
      <x:c r="M7" s="33">
        <x:v>18</x:v>
      </x:c>
      <x:c r="N7" s="33">
        <x:v>5</x:v>
      </x:c>
      <x:c r="O7" s="31"/>
      <x:c r="P7" s="52">
        <x:f>SUM(C7:N7)</x:f>
        <x:v>225</x:v>
      </x:c>
    </x:row>
    <x:row r="8" spans="2:16" x14ac:dyDescent="0.3">
      <x:c r="B8" s="16" t="s">
        <x:v>21</x:v>
      </x:c>
      <x:c r="C8" s="32">
        <x:f t="shared" ref="C8:N8" si="0">C7-C6</x:f>
        <x:v>3</x:v>
      </x:c>
      <x:c r="D8" s="32">
        <x:f t="shared" si="0"/>
        <x:v>2</x:v>
      </x:c>
      <x:c r="E8" s="32">
        <x:f t="shared" si="0"/>
        <x:v>1</x:v>
      </x:c>
      <x:c r="F8" s="32">
        <x:f t="shared" si="0"/>
        <x:v>2</x:v>
      </x:c>
      <x:c r="G8" s="32">
        <x:f t="shared" si="0"/>
        <x:v>-2</x:v>
      </x:c>
      <x:c r="H8" s="32">
        <x:f t="shared" si="0"/>
        <x:v>-1</x:v>
      </x:c>
      <x:c r="I8" s="32">
        <x:f t="shared" si="0"/>
        <x:v>3</x:v>
      </x:c>
      <x:c r="J8" s="32">
        <x:f t="shared" si="0"/>
        <x:v>0</x:v>
      </x:c>
      <x:c r="K8" s="32">
        <x:f t="shared" si="0"/>
        <x:v>1</x:v>
      </x:c>
      <x:c r="L8" s="32">
        <x:f t="shared" si="0"/>
        <x:v>3</x:v>
      </x:c>
      <x:c r="M8" s="32">
        <x:f t="shared" si="0"/>
        <x:v>-1</x:v>
      </x:c>
      <x:c r="N8" s="32">
        <x:f t="shared" si="0"/>
        <x:v>-14</x:v>
      </x:c>
      <x:c r="O8" s="31"/>
      <x:c r="P8" s="52">
        <x:f>SUM(C8:N8)</x:f>
        <x:v>-3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>
        <x:v>22</x:v>
      </x:c>
      <x:c r="D11" s="10">
        <x:v>21</x:v>
      </x:c>
      <x:c r="E11" s="10">
        <x:v>20</x:v>
      </x:c>
      <x:c r="F11" s="10">
        <x:v>21</x:v>
      </x:c>
      <x:c r="G11" s="10">
        <x:v>17</x:v>
      </x:c>
      <x:c r="H11" s="10">
        <x:v>18.5</x:v>
      </x:c>
      <x:c r="I11" s="10">
        <x:v>22</x:v>
      </x:c>
      <x:c r="J11" s="10">
        <x:v>19</x:v>
      </x:c>
      <x:c r="K11" s="10">
        <x:v>20</x:v>
      </x:c>
      <x:c r="L11" s="10">
        <x:v>22</x:v>
      </x:c>
      <x:c r="M11" s="10">
        <x:v>18</x:v>
      </x:c>
      <x:c r="N11" s="10">
        <x:v>5</x:v>
      </x:c>
      <x:c r="P11" s="53">
        <x:f>SUM(C11:N11)</x:f>
        <x:v>225.5</x:v>
      </x:c>
    </x:row>
    <x:row r="12" spans="2:16" x14ac:dyDescent="0.3">
      <x:c r="B12" s="8" t="s">
        <x:v>15</x:v>
      </x:c>
      <x:c r="C12" s="11"/>
      <x:c r="D12" s="11"/>
      <x:c r="E12" s="11">
        <x:v>1</x:v>
      </x:c>
      <x:c r="F12" s="11"/>
      <x:c r="G12" s="11">
        <x:v>2</x:v>
      </x:c>
      <x:c r="H12" s="11">
        <x:v>1.5</x:v>
      </x:c>
      <x:c r="I12" s="11">
        <x:v>1</x:v>
      </x:c>
      <x:c r="J12" s="11">
        <x:v>2</x:v>
      </x:c>
      <x:c r="K12" s="11">
        <x:v>1</x:v>
      </x:c>
      <x:c r="L12" s="11">
        <x:v>1</x:v>
      </x:c>
      <x:c r="M12" s="11">
        <x:v>1</x:v>
      </x:c>
      <x:c r="N12" s="11">
        <x:v>16</x:v>
      </x:c>
      <x:c r="P12" s="53">
        <x:f>SUM(C12:N12)</x:f>
        <x:v>26.5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>
        <x:f>C11*Params!$C$5*(1-Params!$C$3)-Params!$C$4</x:f>
        <x:v>9033</x:v>
      </x:c>
      <x:c r="D17" s="9">
        <x:f>D11*Params!$C$5*(1-Params!$C$3)-Params!$C$4</x:f>
        <x:v>8619</x:v>
      </x:c>
      <x:c r="E17" s="9">
        <x:f>E11*Params!$C$5*(1-Params!$C$3)-Params!$C$4</x:f>
        <x:v>8205</x:v>
      </x:c>
      <x:c r="F17" s="9">
        <x:f>F11*Params!$C$5*(1-Params!$C$3)-Params!$C$4</x:f>
        <x:v>8619</x:v>
      </x:c>
      <x:c r="G17" s="9">
        <x:f>G11*Params!$C$5*(1-Params!$C$3)-Params!$C$4</x:f>
        <x:v>6963</x:v>
      </x:c>
      <x:c r="H17" s="9">
        <x:f>H11*Params!$C$5*(1-Params!$C$3)-Params!$C$4</x:f>
        <x:v>7584</x:v>
      </x:c>
      <x:c r="I17" s="9">
        <x:f>I11*Params!$C$5*(1-Params!$C$3)-Params!$C$4</x:f>
        <x:v>9033</x:v>
      </x:c>
      <x:c r="J17" s="9">
        <x:f>J11*Params!$C$5*(1-Params!$C$3)-Params!$C$4</x:f>
        <x:v>7791</x:v>
      </x:c>
      <x:c r="K17" s="9">
        <x:f>K11*Params!$C$5*(1-Params!$C$3)-Params!$C$4</x:f>
        <x:v>8205</x:v>
      </x:c>
      <x:c r="L17" s="9">
        <x:f>L11*Params!$C$5*(1-Params!$C$3)-Params!$C$4</x:f>
        <x:v>9033</x:v>
      </x:c>
      <x:c r="M17" s="9">
        <x:f>M11*Params!$C$5*(1-Params!$C$3)-Params!$C$4</x:f>
        <x:v>7377</x:v>
      </x:c>
      <x:c r="N17" s="9">
        <x:f>N11*Params!$C$5*(1-Params!$C$3)-Params!$C$4</x:f>
        <x:v>1995</x:v>
      </x:c>
      <x:c r="O17" s="4"/>
      <x:c r="P17" s="37">
        <x:f>SUM(C17:N17)</x:f>
        <x:v>92457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9033</x:v>
      </x:c>
      <x:c r="D19" s="25">
        <x:f t="shared" si="1"/>
        <x:v>8619</x:v>
      </x:c>
      <x:c r="E19" s="25">
        <x:f t="shared" si="1"/>
        <x:v>8205</x:v>
      </x:c>
      <x:c r="F19" s="25">
        <x:f t="shared" si="1"/>
        <x:v>8619</x:v>
      </x:c>
      <x:c r="G19" s="25">
        <x:f t="shared" si="1"/>
        <x:v>6963</x:v>
      </x:c>
      <x:c r="H19" s="25">
        <x:f t="shared" si="1"/>
        <x:v>7584</x:v>
      </x:c>
      <x:c r="I19" s="25">
        <x:f t="shared" si="1"/>
        <x:v>9033</x:v>
      </x:c>
      <x:c r="J19" s="25">
        <x:f t="shared" si="1"/>
        <x:v>7791</x:v>
      </x:c>
      <x:c r="K19" s="25">
        <x:f t="shared" si="1"/>
        <x:v>8205</x:v>
      </x:c>
      <x:c r="L19" s="25">
        <x:f t="shared" si="1"/>
        <x:v>9033</x:v>
      </x:c>
      <x:c r="M19" s="25">
        <x:f t="shared" si="1"/>
        <x:v>7377</x:v>
      </x:c>
      <x:c r="N19" s="25">
        <x:f t="shared" si="1"/>
        <x:v>1995</x:v>
      </x:c>
      <x:c r="O19" s="5"/>
      <x:c r="P19" s="38">
        <x:f>SUM(C19:O19)</x:f>
        <x:v>92457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>
        <x:v>4996.62</x:v>
      </x:c>
      <x:c r="D22" s="9">
        <x:v>4996.62</x:v>
      </x:c>
      <x:c r="E22" s="9">
        <x:v>4996.62</x:v>
      </x:c>
      <x:c r="F22" s="9">
        <x:v>5016.2</x:v>
      </x:c>
      <x:c r="G22" s="9">
        <x:v>5016.2</x:v>
      </x:c>
      <x:c r="H22" s="9">
        <x:v>5016.2</x:v>
      </x:c>
      <x:c r="I22" s="9">
        <x:v>5016.2</x:v>
      </x:c>
      <x:c r="J22" s="9">
        <x:v>5016.2</x:v>
      </x:c>
      <x:c r="K22" s="9">
        <x:v>5016.2</x:v>
      </x:c>
      <x:c r="L22" s="9">
        <x:v>5016.2</x:v>
      </x:c>
      <x:c r="M22" s="9">
        <x:v>5016.2</x:v>
      </x:c>
      <x:c r="N22" s="9">
        <x:v>5016.2</x:v>
      </x:c>
      <x:c r="O22" s="4"/>
      <x:c r="P22" s="39">
        <x:f>SUM(C22:N22)</x:f>
        <x:v>60135.659999999989</x:v>
      </x:c>
    </x:row>
    <x:row r="23" spans="2:16" x14ac:dyDescent="0.3">
      <x:c r="B23" s="8" t="s">
        <x:v>8</x:v>
      </x:c>
      <x:c r="C23" s="9">
        <x:f>1066.03+1747.18</x:f>
        <x:v>2813.21</x:v>
      </x:c>
      <x:c r="D23" s="9">
        <x:f>1066.03+1745.46</x:f>
        <x:v>2811.49</x:v>
      </x:c>
      <x:c r="E23" s="9">
        <x:f>1066.03+1745.46</x:f>
        <x:v>2811.49</x:v>
      </x:c>
      <x:c r="F23" s="9">
        <x:f>1054.25+1731.65</x:f>
        <x:v>2785.9</x:v>
      </x:c>
      <x:c r="G23" s="9">
        <x:f>1054.25+1731.65</x:f>
        <x:v>2785.9</x:v>
      </x:c>
      <x:c r="H23" s="9">
        <x:f>1054.25+1734.56</x:f>
        <x:v>2788.81</x:v>
      </x:c>
      <x:c r="I23" s="9">
        <x:f>1054.25+1736.22</x:f>
        <x:v>2790.4700000000003</x:v>
      </x:c>
      <x:c r="J23" s="9">
        <x:f>1054.25+1735.5</x:f>
        <x:v>2789.75</x:v>
      </x:c>
      <x:c r="K23" s="9">
        <x:f>1054.25+1736.96</x:f>
        <x:v>2791.21</x:v>
      </x:c>
      <x:c r="L23" s="9">
        <x:f>1054.25+1735.5</x:f>
        <x:v>2789.75</x:v>
      </x:c>
      <x:c r="M23" s="9">
        <x:f>1054.25+1735.5</x:f>
        <x:v>2789.75</x:v>
      </x:c>
      <x:c r="N23" s="9">
        <x:f>1054.25+1735.5</x:f>
        <x:v>2789.75</x:v>
      </x:c>
      <x:c r="O23" s="4"/>
      <x:c r="P23" s="39">
        <x:f>SUM(C23:N23)</x:f>
        <x:v>33537.479999999996</x:v>
      </x:c>
    </x:row>
    <x:row r="24" spans="2:16" x14ac:dyDescent="0.3">
      <x:c r="B24" s="60" t="s">
        <x:v>39</x:v>
      </x:c>
      <x:c r="C24" s="61"/>
      <x:c r="D24" s="61"/>
      <x:c r="E24" s="61"/>
      <x:c r="F24" s="61"/>
      <x:c r="G24" s="61"/>
      <x:c r="H24" s="61"/>
      <x:c r="I24" s="61">
        <x:v>1253.33</x:v>
      </x:c>
      <x:c r="J24" s="61"/>
      <x:c r="K24" s="61"/>
      <x:c r="L24" s="61"/>
      <x:c r="M24" s="61"/>
      <x:c r="N24" s="61"/>
      <x:c r="O24" s="4"/>
      <x:c r="P24" s="39">
        <x:f>SUM(C24:N24)</x:f>
        <x:v>1253.33</x:v>
      </x:c>
    </x:row>
    <x:row r="25" spans="2:16" x14ac:dyDescent="0.3">
      <x:c r="B25" s="7" t="s">
        <x:v>3</x:v>
      </x:c>
      <x:c r="C25" s="40">
        <x:f t="shared" ref="C25:H25" si="2">SUM(C22:C23)</x:f>
        <x:v>7809.83</x:v>
      </x:c>
      <x:c r="D25" s="40">
        <x:f t="shared" si="2"/>
        <x:v>7808.11</x:v>
      </x:c>
      <x:c r="E25" s="40">
        <x:f t="shared" si="2"/>
        <x:v>7808.11</x:v>
      </x:c>
      <x:c r="F25" s="40">
        <x:f t="shared" si="2"/>
        <x:v>7802.1</x:v>
      </x:c>
      <x:c r="G25" s="40">
        <x:f t="shared" si="2"/>
        <x:v>7802.1</x:v>
      </x:c>
      <x:c r="H25" s="40">
        <x:f t="shared" si="2"/>
        <x:v>7805.01</x:v>
      </x:c>
      <x:c r="I25" s="40">
        <x:f t="shared" ref="I25:N25" si="3">SUM(I22:I24)</x:f>
        <x:v>9060</x:v>
      </x:c>
      <x:c r="J25" s="40">
        <x:f t="shared" si="3"/>
        <x:v>7805.95</x:v>
      </x:c>
      <x:c r="K25" s="40">
        <x:f t="shared" si="3"/>
        <x:v>7807.41</x:v>
      </x:c>
      <x:c r="L25" s="40">
        <x:f t="shared" si="3"/>
        <x:v>7805.95</x:v>
      </x:c>
      <x:c r="M25" s="40">
        <x:f t="shared" si="3"/>
        <x:v>7805.95</x:v>
      </x:c>
      <x:c r="N25" s="40">
        <x:f t="shared" si="3"/>
        <x:v>7805.95</x:v>
      </x:c>
      <x:c r="O25" s="4"/>
      <x:c r="P25" s="41">
        <x:f>SUM(C25:N25)</x:f>
        <x:v>94926.469999999987</x:v>
      </x:c>
    </x:row>
    <x:row r="26" spans="2:16" x14ac:dyDescent="0.3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 spans="2:16" x14ac:dyDescent="0.3">
      <x:c r="B27" s="43" t="s">
        <x:v>25</x:v>
      </x:c>
      <x:c r="C27" s="44">
        <x:f t="shared" ref="C27:N27" si="4">C19-C25</x:f>
        <x:v>1223.17</x:v>
      </x:c>
      <x:c r="D27" s="44">
        <x:f t="shared" si="4"/>
        <x:v>810.89000000000033</x:v>
      </x:c>
      <x:c r="E27" s="44">
        <x:f t="shared" si="4"/>
        <x:v>396.89000000000033</x:v>
      </x:c>
      <x:c r="F27" s="44">
        <x:f t="shared" si="4"/>
        <x:v>816.89999999999964</x:v>
      </x:c>
      <x:c r="G27" s="44">
        <x:f t="shared" si="4"/>
        <x:v>-839.10000000000036</x:v>
      </x:c>
      <x:c r="H27" s="44">
        <x:f t="shared" si="4"/>
        <x:v>-221.01000000000022</x:v>
      </x:c>
      <x:c r="I27" s="44">
        <x:f t="shared" si="4"/>
        <x:v>-27</x:v>
      </x:c>
      <x:c r="J27" s="44">
        <x:f t="shared" si="4"/>
        <x:v>-14.949999999999818</x:v>
      </x:c>
      <x:c r="K27" s="44">
        <x:f t="shared" si="4"/>
        <x:v>397.59000000000015</x:v>
      </x:c>
      <x:c r="L27" s="44">
        <x:f t="shared" si="4"/>
        <x:v>1227.0500000000002</x:v>
      </x:c>
      <x:c r="M27" s="44">
        <x:f t="shared" si="4"/>
        <x:v>-428.94999999999982</x:v>
      </x:c>
      <x:c r="N27" s="44">
        <x:f t="shared" si="4"/>
        <x:v>-5810.95</x:v>
      </x:c>
      <x:c r="P27" s="54">
        <x:f>SUM(C27:O27)</x:f>
        <x:v>-2469.4699999999993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56EBC5C4-192C-46BD-BBF8-C7C351DB74D3}" mc:Ignorable="x14ac xr xr2 xr3">
  <x:dimension ref="B1:P27"/>
  <x:sheetViews>
    <x:sheetView tabSelected="1" workbookViewId="0">
      <x:selection activeCell="D24" sqref="D24"/>
    </x:sheetView>
  </x:sheetViews>
  <x:sheetFormatPr baseColWidth="10" defaultRowHeight="14.6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38</x:v>
      </x:c>
    </x:row>
    <x:row r="7">
      <x:c r="B7" s="8" t="s">
        <x:v>20</x:v>
      </x:c>
      <x:c r="C7" s="33">
        <x:v>20</x:v>
      </x:c>
      <x:c r="D7" s="33">
        <x:v>19.5</x:v>
      </x:c>
      <x:c r="E7" s="33">
        <x:v>21</x:v>
      </x:c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39.5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1.5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20</x:v>
      </x:c>
      <x:c r="D11" s="10">
        <x:v>19.5</x:v>
      </x:c>
      <x:c r="E11" s="10">
        <x:v>21</x:v>
      </x:c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39.5</x:v>
      </x:c>
    </x:row>
    <x:row r="12">
      <x:c r="B12" s="8" t="s">
        <x:v>15</x:v>
      </x:c>
      <x:c r="C12" s="11">
        <x:v>2</x:v>
      </x:c>
      <x:c r="D12" s="11">
        <x:v>0.5</x:v>
      </x:c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2.5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8205</x:v>
      </x:c>
      <x:c r="D17" s="9">
        <x:f>D11*Params!$C$5*(1-Params!$C$3)-Params!$C$4</x:f>
        <x:v>7998</x:v>
      </x:c>
      <x:c r="E17" s="9">
        <x:f>E11*Params!$C$5*(1-Params!$C$3)-Params!$C$4</x:f>
      </x:c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16203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16203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5086.35</x:v>
      </x:c>
      <x:c r="D22" s="9">
        <x:v>5017.07</x:v>
      </x:c>
      <x:c r="E22" s="9">
        <x:v>5017.07</x:v>
      </x:c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10103.42</x:v>
      </x:c>
    </x:row>
    <x:row r="23">
      <x:c r="B23" s="8" t="s">
        <x:v>8</x:v>
      </x:c>
      <x:c r="C23" s="9">
        <x:f>1075.85+1788.45</x:f>
        <x:v>2864.3</x:v>
      </x:c>
      <x:c r="D23" s="9">
        <x:f>1060.34+1743.07</x:f>
        <x:v>2803.41</x:v>
      </x:c>
      <x:c r="E23" s="9">
        <x:f>1060.34+1740.88</x:f>
      </x:c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5667.71</x:v>
      </x:c>
    </x:row>
    <x:row r="24">
      <x:c r="B24" s="60" t="s">
        <x:v>39</x:v>
      </x:c>
      <x:c r="C24" s="61"/>
      <x:c r="D24" s="61"/>
      <x:c r="E24" s="61"/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0</x:v>
      </x:c>
    </x:row>
    <x:row r="25">
      <x:c r="B25" s="7" t="s">
        <x:v>3</x:v>
      </x:c>
      <x:c r="C25" s="40">
        <x:f>SUM(C22:C23)</x:f>
      </x:c>
      <x:c r="D25" s="40">
        <x:f>SUM(D22:D23)</x:f>
      </x:c>
      <x:c r="E25" s="40">
        <x:f>SUM(E22:E23)</x:f>
      </x:c>
      <x:c r="F25" s="40">
        <x:f>SUM(F22:F23)</x:f>
      </x:c>
      <x:c r="G25" s="40">
        <x:f>SUM(G22:G23)</x:f>
      </x:c>
      <x:c r="H25" s="40">
        <x:f>SUM(H22:H23)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15771.130000000001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SUM(C27:O27)</x:f>
        <x:v>431.8699999999999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4" t="s">
        <x:v>22</x:v>
      </x:c>
      <x:c r="C2" s="65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450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6" t="s">
        <x:v>23</x:v>
      </x:c>
      <x:c r="C2" s="66"/>
    </x:row>
    <x:row r="3" spans="2:3" ht="16.95" customHeight="1" x14ac:dyDescent="0.3">
      <x:c r="B3" s="34" t="s">
        <x:v>24</x:v>
      </x:c>
      <x:c r="C3" s="35">
        <x:f>'2023'!P26+'2024'!P27+'2025'!P27</x:f>
        <x:v>-367.94999999999618</x:v>
      </x:c>
    </x:row>
    <x:row r="4" spans="2:3" ht="16.95" customHeight="1" x14ac:dyDescent="0.3">
      <x:c r="B4" s="34" t="s">
        <x:v>26</x:v>
      </x:c>
      <x:c r="C4" s="36">
        <x:f>SUM('2023'!P12)+('2024'!P12)+'2025'!P12</x:f>
        <x:v>36.5</x:v>
      </x:c>
    </x:row>
    <x:row r="5" spans="2:3" x14ac:dyDescent="0.3">
      <x:c r="B5" t="s">
        <x:v>40</x:v>
      </x:c>
      <x:c r="C5">
        <x:f>(19*2.08)+1.04-C4</x:f>
        <x:v>4.0600000000000023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2025-04-04T15:11:31Z</dcterms:modified>
</cp:coreProperties>
</file>