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Sources\master\NetPower.SI\NetPower.SI.Tools.Winform\"/>
    </mc:Choice>
  </mc:AlternateContent>
  <xr:revisionPtr revIDLastSave="0" documentId="13_ncr:1_{73E9E20E-5697-483A-A0A3-2A70699EAE35}" xr6:coauthVersionLast="47" xr6:coauthVersionMax="47" xr10:uidLastSave="{00000000-0000-0000-0000-000000000000}"/>
  <bookViews>
    <workbookView xWindow="2512" yWindow="1058" windowWidth="20161" windowHeight="990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1" l="1"/>
  <c r="G45" i="1"/>
  <c r="J23" i="1"/>
  <c r="H23" i="1"/>
  <c r="G23" i="1"/>
  <c r="E23" i="1"/>
  <c r="I11" i="1"/>
  <c r="F11" i="1"/>
  <c r="I9" i="1"/>
  <c r="E9" i="1"/>
  <c r="F9" i="1" s="1"/>
  <c r="E8" i="1"/>
  <c r="E10" i="1" s="1"/>
  <c r="F10" i="1" s="1"/>
  <c r="I2" i="1"/>
  <c r="I13" i="1" l="1"/>
  <c r="E39" i="1"/>
  <c r="G39" i="1" s="1"/>
  <c r="F12" i="1"/>
  <c r="G41" i="1"/>
  <c r="J36" i="1" l="1"/>
  <c r="H35" i="1"/>
  <c r="J35" i="1" s="1"/>
  <c r="E35" i="1"/>
  <c r="G35" i="1" s="1"/>
  <c r="H34" i="1"/>
  <c r="J34" i="1" s="1"/>
  <c r="E34" i="1"/>
  <c r="G34" i="1" s="1"/>
  <c r="H33" i="1"/>
  <c r="J33" i="1" s="1"/>
  <c r="H31" i="1"/>
  <c r="J31" i="1" s="1"/>
  <c r="H30" i="1"/>
  <c r="J30" i="1" s="1"/>
  <c r="E30" i="1"/>
  <c r="G30" i="1" s="1"/>
  <c r="H29" i="1"/>
  <c r="J29" i="1" s="1"/>
  <c r="E29" i="1"/>
  <c r="G29" i="1" s="1"/>
  <c r="H28" i="1"/>
  <c r="J28" i="1" s="1"/>
  <c r="E28" i="1"/>
  <c r="G28" i="1" s="1"/>
  <c r="H27" i="1"/>
  <c r="J27" i="1" s="1"/>
  <c r="E27" i="1"/>
  <c r="G27" i="1" s="1"/>
  <c r="H26" i="1"/>
  <c r="J26" i="1" s="1"/>
  <c r="E26" i="1"/>
  <c r="G26" i="1" s="1"/>
  <c r="H24" i="1"/>
  <c r="J24" i="1" s="1"/>
  <c r="H22" i="1"/>
  <c r="J22" i="1" s="1"/>
  <c r="I21" i="1"/>
  <c r="I12" i="1"/>
  <c r="E38" i="1" s="1"/>
  <c r="G38" i="1" s="1"/>
  <c r="E37" i="1"/>
  <c r="G37" i="1" s="1"/>
  <c r="H21" i="1"/>
  <c r="J21" i="1" s="1"/>
  <c r="F13" i="1"/>
  <c r="J43" i="1" l="1"/>
  <c r="G43" i="1"/>
  <c r="G42" i="1" s="1"/>
  <c r="I4" i="1" l="1"/>
  <c r="J49" i="1" s="1"/>
  <c r="I3" i="1"/>
</calcChain>
</file>

<file path=xl/sharedStrings.xml><?xml version="1.0" encoding="utf-8"?>
<sst xmlns="http://schemas.openxmlformats.org/spreadsheetml/2006/main" count="52" uniqueCount="47">
  <si>
    <t>TJM</t>
  </si>
  <si>
    <t>Chiffre d'Affaire Net</t>
  </si>
  <si>
    <t>Jours</t>
  </si>
  <si>
    <t>Cout Globale du Salaire</t>
  </si>
  <si>
    <t>Taux</t>
  </si>
  <si>
    <t>Net Avant Impot</t>
  </si>
  <si>
    <t>SALAIRE DE BASE</t>
  </si>
  <si>
    <t>Plafond SS</t>
  </si>
  <si>
    <t>HS à 25%</t>
  </si>
  <si>
    <t>Heures Payées</t>
  </si>
  <si>
    <t>HS à 50%</t>
  </si>
  <si>
    <t>SMIC Horaire</t>
  </si>
  <si>
    <t>SMIC Mensuel</t>
  </si>
  <si>
    <t>SALAIRE BRUT SOCIAL</t>
  </si>
  <si>
    <t>Interessement</t>
  </si>
  <si>
    <t>TOTAL SALAIRE BRUT</t>
  </si>
  <si>
    <t>Brut dans la paie</t>
  </si>
  <si>
    <t>COTISATIONS</t>
  </si>
  <si>
    <t>PART SALARIALE</t>
  </si>
  <si>
    <t>PART PATRONALE</t>
  </si>
  <si>
    <t>Base</t>
  </si>
  <si>
    <t>Montant</t>
  </si>
  <si>
    <t>SANTE</t>
  </si>
  <si>
    <t>Sécurité Sociale - Maladie Maternité Invalidé Décès</t>
  </si>
  <si>
    <t>Complémentaire Incapacité Invalidité Décès</t>
  </si>
  <si>
    <t>Complémentaire Santé</t>
  </si>
  <si>
    <t>ACCIDENT DU TRAVAIL-MALADIES PROFESSIONNELLES</t>
  </si>
  <si>
    <t>RETRAITE</t>
  </si>
  <si>
    <t>Sécurité Sociale plafonnée</t>
  </si>
  <si>
    <t>Sécurité Sociale déplafonnée</t>
  </si>
  <si>
    <t>Contribution Equilibre Technique (CET)</t>
  </si>
  <si>
    <t>Complémentaire Tranche 1</t>
  </si>
  <si>
    <t>Complémentaire Tranche 2</t>
  </si>
  <si>
    <t>FAMILLE</t>
  </si>
  <si>
    <t>ASSURANCE CHOMAGE</t>
  </si>
  <si>
    <t>Chomage</t>
  </si>
  <si>
    <t>APEC</t>
  </si>
  <si>
    <t>AUTRES CONTRIBUTIONS DUES PAR L'EMPLOYEUR</t>
  </si>
  <si>
    <t>CSG déductible de l'impôt sur le revenu</t>
  </si>
  <si>
    <t>CSG-CRDS non déductible</t>
  </si>
  <si>
    <t>Réduction salariale heures suppl. 2019</t>
  </si>
  <si>
    <t>Réintégration fiscale (Frais santé)</t>
  </si>
  <si>
    <t>Net imposable</t>
  </si>
  <si>
    <t>Total général des charges</t>
  </si>
  <si>
    <t>Indémnité repas dép. professionnels</t>
  </si>
  <si>
    <t>Frais de transport</t>
  </si>
  <si>
    <t>Salaire Net Avant Impot (Paie)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</si>
</sst>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0.00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0"/>
      <name val="Arial"/>
      <family val="2"/>
    </font>
    <font>
      <u/>
      <sz val="10"/>
      <color theme="10"/>
      <name val="Arial"/>
      <family val="2"/>
    </font>
    <font>
      <u/>
      <sz val="14"/>
      <color theme="0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theme="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16">
    <xf numFmtId="0" fontId="0" fillId="0" borderId="0" xfId="0"/>
    <xf numFmtId="0" fontId="2" fillId="0" borderId="0" xfId="0" applyFont="1"/>
    <xf numFmtId="0" fontId="4" fillId="0" borderId="0" xfId="2" applyFont="1" applyFill="1"/>
    <xf numFmtId="0" fontId="0" fillId="0" borderId="1" xfId="0" applyBorder="1"/>
    <xf numFmtId="0" fontId="5" fillId="2" borderId="2" xfId="0" applyFont="1" applyFill="1" applyBorder="1" applyAlignment="1">
      <alignment vertical="center"/>
    </xf>
    <xf numFmtId="0" fontId="0" fillId="0" borderId="3" xfId="0" applyBorder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0" fillId="3" borderId="4" xfId="0" applyFill="1" applyBorder="1"/>
    <xf numFmtId="0" fontId="0" fillId="3" borderId="0" xfId="0" applyFill="1"/>
    <xf numFmtId="0" fontId="0" fillId="3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10" fillId="5" borderId="9" xfId="0" applyFont="1" applyFill="1" applyBorder="1"/>
    <xf numFmtId="0" fontId="0" fillId="5" borderId="0" xfId="0" applyFill="1"/>
    <xf numFmtId="0" fontId="0" fillId="0" borderId="2" xfId="0" applyBorder="1"/>
    <xf numFmtId="164" fontId="0" fillId="0" borderId="2" xfId="0" applyNumberFormat="1" applyBorder="1"/>
    <xf numFmtId="164" fontId="11" fillId="0" borderId="2" xfId="0" applyNumberFormat="1" applyFont="1" applyBorder="1"/>
    <xf numFmtId="0" fontId="7" fillId="5" borderId="0" xfId="0" applyFont="1" applyFill="1" applyAlignment="1">
      <alignment horizontal="right"/>
    </xf>
    <xf numFmtId="0" fontId="7" fillId="5" borderId="0" xfId="0" applyFont="1" applyFill="1" applyAlignment="1">
      <alignment horizontal="left"/>
    </xf>
    <xf numFmtId="164" fontId="0" fillId="6" borderId="2" xfId="0" applyNumberFormat="1" applyFill="1" applyBorder="1"/>
    <xf numFmtId="0" fontId="9" fillId="5" borderId="10" xfId="0" applyFont="1" applyFill="1" applyBorder="1"/>
    <xf numFmtId="0" fontId="7" fillId="5" borderId="9" xfId="0" applyFont="1" applyFill="1" applyBorder="1"/>
    <xf numFmtId="0" fontId="7" fillId="0" borderId="2" xfId="0" applyFont="1" applyBorder="1"/>
    <xf numFmtId="0" fontId="11" fillId="0" borderId="2" xfId="0" applyFont="1" applyBorder="1"/>
    <xf numFmtId="0" fontId="12" fillId="4" borderId="0" xfId="0" applyFont="1" applyFill="1"/>
    <xf numFmtId="0" fontId="12" fillId="4" borderId="10" xfId="0" applyFont="1" applyFill="1" applyBorder="1"/>
    <xf numFmtId="164" fontId="12" fillId="0" borderId="11" xfId="0" applyNumberFormat="1" applyFont="1" applyBorder="1"/>
    <xf numFmtId="164" fontId="12" fillId="0" borderId="2" xfId="0" applyNumberFormat="1" applyFont="1" applyBorder="1"/>
    <xf numFmtId="0" fontId="11" fillId="5" borderId="0" xfId="0" applyFont="1" applyFill="1" applyAlignment="1">
      <alignment horizontal="left"/>
    </xf>
    <xf numFmtId="0" fontId="11" fillId="4" borderId="12" xfId="0" applyFont="1" applyFill="1" applyBorder="1" applyAlignment="1">
      <alignment horizontal="left"/>
    </xf>
    <xf numFmtId="0" fontId="11" fillId="4" borderId="13" xfId="0" applyFont="1" applyFill="1" applyBorder="1" applyAlignment="1">
      <alignment horizontal="left"/>
    </xf>
    <xf numFmtId="164" fontId="0" fillId="4" borderId="13" xfId="0" applyNumberFormat="1" applyFill="1" applyBorder="1"/>
    <xf numFmtId="0" fontId="0" fillId="4" borderId="13" xfId="0" applyFill="1" applyBorder="1"/>
    <xf numFmtId="0" fontId="0" fillId="4" borderId="14" xfId="0" applyFill="1" applyBorder="1"/>
    <xf numFmtId="0" fontId="0" fillId="3" borderId="4" xfId="0" applyFill="1" applyBorder="1" applyAlignment="1">
      <alignment horizontal="left"/>
    </xf>
    <xf numFmtId="0" fontId="0" fillId="3" borderId="0" xfId="0" applyFill="1" applyAlignment="1">
      <alignment horizontal="left"/>
    </xf>
    <xf numFmtId="164" fontId="0" fillId="3" borderId="0" xfId="0" applyNumberFormat="1" applyFill="1"/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164" fontId="0" fillId="0" borderId="16" xfId="0" applyNumberFormat="1" applyBorder="1"/>
    <xf numFmtId="0" fontId="0" fillId="0" borderId="16" xfId="0" applyBorder="1"/>
    <xf numFmtId="0" fontId="0" fillId="0" borderId="17" xfId="0" applyBorder="1"/>
    <xf numFmtId="0" fontId="11" fillId="0" borderId="2" xfId="0" applyFont="1" applyBorder="1" applyAlignment="1">
      <alignment horizontal="center" vertical="center"/>
    </xf>
    <xf numFmtId="0" fontId="7" fillId="5" borderId="6" xfId="0" applyFont="1" applyFill="1" applyBorder="1" applyAlignment="1">
      <alignment horizontal="left"/>
    </xf>
    <xf numFmtId="0" fontId="0" fillId="5" borderId="7" xfId="0" applyFill="1" applyBorder="1" applyAlignment="1">
      <alignment horizontal="left"/>
    </xf>
    <xf numFmtId="0" fontId="0" fillId="5" borderId="8" xfId="0" applyFill="1" applyBorder="1" applyAlignment="1">
      <alignment horizontal="left"/>
    </xf>
    <xf numFmtId="164" fontId="0" fillId="0" borderId="18" xfId="0" applyNumberFormat="1" applyBorder="1"/>
    <xf numFmtId="165" fontId="0" fillId="0" borderId="18" xfId="0" applyNumberFormat="1" applyBorder="1"/>
    <xf numFmtId="164" fontId="0" fillId="5" borderId="18" xfId="0" applyNumberFormat="1" applyFill="1" applyBorder="1"/>
    <xf numFmtId="10" fontId="0" fillId="0" borderId="18" xfId="0" applyNumberFormat="1" applyBorder="1"/>
    <xf numFmtId="0" fontId="0" fillId="5" borderId="18" xfId="0" applyFill="1" applyBorder="1"/>
    <xf numFmtId="164" fontId="0" fillId="0" borderId="19" xfId="0" applyNumberFormat="1" applyBorder="1"/>
    <xf numFmtId="165" fontId="0" fillId="0" borderId="19" xfId="0" applyNumberFormat="1" applyBorder="1"/>
    <xf numFmtId="164" fontId="0" fillId="5" borderId="19" xfId="0" applyNumberFormat="1" applyFill="1" applyBorder="1"/>
    <xf numFmtId="10" fontId="0" fillId="0" borderId="19" xfId="0" applyNumberFormat="1" applyBorder="1"/>
    <xf numFmtId="0" fontId="0" fillId="5" borderId="19" xfId="0" applyFill="1" applyBorder="1"/>
    <xf numFmtId="164" fontId="7" fillId="5" borderId="19" xfId="0" applyNumberFormat="1" applyFont="1" applyFill="1" applyBorder="1" applyAlignment="1">
      <alignment horizontal="right"/>
    </xf>
    <xf numFmtId="0" fontId="7" fillId="5" borderId="9" xfId="0" applyFont="1" applyFill="1" applyBorder="1" applyAlignment="1">
      <alignment horizontal="left"/>
    </xf>
    <xf numFmtId="0" fontId="0" fillId="5" borderId="0" xfId="0" applyFill="1" applyAlignment="1">
      <alignment horizontal="left"/>
    </xf>
    <xf numFmtId="0" fontId="0" fillId="5" borderId="10" xfId="0" applyFill="1" applyBorder="1" applyAlignment="1">
      <alignment horizontal="left"/>
    </xf>
    <xf numFmtId="164" fontId="0" fillId="5" borderId="19" xfId="0" applyNumberFormat="1" applyFill="1" applyBorder="1" applyAlignment="1">
      <alignment horizontal="right"/>
    </xf>
    <xf numFmtId="165" fontId="0" fillId="0" borderId="19" xfId="1" applyNumberFormat="1" applyFont="1" applyBorder="1"/>
    <xf numFmtId="0" fontId="10" fillId="5" borderId="0" xfId="0" applyFont="1" applyFill="1" applyAlignment="1">
      <alignment horizontal="left"/>
    </xf>
    <xf numFmtId="0" fontId="10" fillId="5" borderId="10" xfId="0" applyFont="1" applyFill="1" applyBorder="1" applyAlignment="1">
      <alignment horizontal="left"/>
    </xf>
    <xf numFmtId="164" fontId="7" fillId="0" borderId="19" xfId="0" applyNumberFormat="1" applyFont="1" applyBorder="1"/>
    <xf numFmtId="0" fontId="10" fillId="5" borderId="9" xfId="0" applyFont="1" applyFill="1" applyBorder="1" applyAlignment="1">
      <alignment horizontal="left"/>
    </xf>
    <xf numFmtId="165" fontId="12" fillId="0" borderId="19" xfId="0" applyNumberFormat="1" applyFont="1" applyBorder="1"/>
    <xf numFmtId="164" fontId="12" fillId="5" borderId="19" xfId="0" applyNumberFormat="1" applyFont="1" applyFill="1" applyBorder="1"/>
    <xf numFmtId="0" fontId="12" fillId="0" borderId="19" xfId="0" applyFont="1" applyBorder="1"/>
    <xf numFmtId="164" fontId="12" fillId="0" borderId="19" xfId="0" applyNumberFormat="1" applyFont="1" applyBorder="1"/>
    <xf numFmtId="0" fontId="0" fillId="0" borderId="19" xfId="0" applyBorder="1"/>
    <xf numFmtId="0" fontId="8" fillId="5" borderId="9" xfId="0" applyFont="1" applyFill="1" applyBorder="1" applyAlignment="1">
      <alignment horizontal="right"/>
    </xf>
    <xf numFmtId="0" fontId="8" fillId="5" borderId="0" xfId="0" applyFont="1" applyFill="1" applyAlignment="1">
      <alignment horizontal="right"/>
    </xf>
    <xf numFmtId="0" fontId="8" fillId="5" borderId="10" xfId="0" applyFont="1" applyFill="1" applyBorder="1" applyAlignment="1">
      <alignment horizontal="right"/>
    </xf>
    <xf numFmtId="165" fontId="7" fillId="0" borderId="19" xfId="0" applyNumberFormat="1" applyFont="1" applyBorder="1"/>
    <xf numFmtId="164" fontId="7" fillId="5" borderId="19" xfId="0" applyNumberFormat="1" applyFont="1" applyFill="1" applyBorder="1"/>
    <xf numFmtId="164" fontId="0" fillId="0" borderId="11" xfId="0" applyNumberFormat="1" applyBorder="1"/>
    <xf numFmtId="165" fontId="0" fillId="0" borderId="11" xfId="0" applyNumberFormat="1" applyBorder="1"/>
    <xf numFmtId="164" fontId="0" fillId="5" borderId="11" xfId="0" applyNumberFormat="1" applyFill="1" applyBorder="1"/>
    <xf numFmtId="0" fontId="13" fillId="0" borderId="0" xfId="0" applyFont="1" applyAlignment="1">
      <alignment horizontal="left"/>
    </xf>
    <xf numFmtId="4" fontId="12" fillId="4" borderId="17" xfId="0" applyNumberFormat="1" applyFont="1" applyFill="1" applyBorder="1" applyAlignment="1">
      <alignment vertical="center"/>
    </xf>
    <xf numFmtId="2" fontId="0" fillId="0" borderId="19" xfId="0" applyNumberFormat="1" applyBorder="1"/>
    <xf numFmtId="0" fontId="6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164" fontId="6" fillId="2" borderId="2" xfId="0" applyNumberFormat="1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left"/>
    </xf>
    <xf numFmtId="0" fontId="0" fillId="5" borderId="0" xfId="0" applyFill="1" applyAlignment="1">
      <alignment horizontal="left"/>
    </xf>
    <xf numFmtId="0" fontId="0" fillId="5" borderId="10" xfId="0" applyFill="1" applyBorder="1" applyAlignment="1">
      <alignment horizontal="left"/>
    </xf>
    <xf numFmtId="9" fontId="6" fillId="2" borderId="2" xfId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0" fillId="3" borderId="0" xfId="0" applyFill="1" applyAlignment="1">
      <alignment horizontal="center"/>
    </xf>
    <xf numFmtId="0" fontId="0" fillId="3" borderId="5" xfId="0" applyFill="1" applyBorder="1" applyAlignment="1">
      <alignment horizontal="center"/>
    </xf>
    <xf numFmtId="0" fontId="12" fillId="5" borderId="6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/>
    </xf>
    <xf numFmtId="0" fontId="11" fillId="5" borderId="16" xfId="0" applyFont="1" applyFill="1" applyBorder="1" applyAlignment="1">
      <alignment horizontal="center"/>
    </xf>
    <xf numFmtId="0" fontId="11" fillId="5" borderId="17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left"/>
    </xf>
    <xf numFmtId="0" fontId="10" fillId="5" borderId="0" xfId="0" applyFont="1" applyFill="1" applyAlignment="1">
      <alignment horizontal="left"/>
    </xf>
    <xf numFmtId="0" fontId="10" fillId="5" borderId="10" xfId="0" applyFont="1" applyFill="1" applyBorder="1" applyAlignment="1">
      <alignment horizontal="left"/>
    </xf>
    <xf numFmtId="0" fontId="7" fillId="5" borderId="0" xfId="0" applyFont="1" applyFill="1" applyAlignment="1">
      <alignment horizontal="left"/>
    </xf>
    <xf numFmtId="0" fontId="7" fillId="5" borderId="10" xfId="0" applyFont="1" applyFill="1" applyBorder="1" applyAlignment="1">
      <alignment horizontal="left"/>
    </xf>
    <xf numFmtId="0" fontId="8" fillId="5" borderId="9" xfId="0" applyFont="1" applyFill="1" applyBorder="1" applyAlignment="1">
      <alignment horizontal="right"/>
    </xf>
    <xf numFmtId="0" fontId="8" fillId="5" borderId="0" xfId="0" applyFont="1" applyFill="1" applyAlignment="1">
      <alignment horizontal="right"/>
    </xf>
    <xf numFmtId="0" fontId="8" fillId="5" borderId="10" xfId="0" applyFont="1" applyFill="1" applyBorder="1" applyAlignment="1">
      <alignment horizontal="right"/>
    </xf>
    <xf numFmtId="0" fontId="7" fillId="5" borderId="12" xfId="0" applyFont="1" applyFill="1" applyBorder="1" applyAlignment="1">
      <alignment horizontal="left"/>
    </xf>
    <xf numFmtId="0" fontId="0" fillId="5" borderId="13" xfId="0" applyFill="1" applyBorder="1" applyAlignment="1">
      <alignment horizontal="left"/>
    </xf>
    <xf numFmtId="0" fontId="0" fillId="5" borderId="14" xfId="0" applyFill="1" applyBorder="1" applyAlignment="1">
      <alignment horizontal="left"/>
    </xf>
    <xf numFmtId="4" fontId="12" fillId="4" borderId="2" xfId="0" applyNumberFormat="1" applyFont="1" applyFill="1" applyBorder="1" applyAlignment="1">
      <alignment horizontal="center" vertical="center"/>
    </xf>
  </cellXfs>
  <cellStyles count="3">
    <cellStyle name="Lien hypertexte" xfId="2" builtinId="8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"/>
  <sheetViews>
    <sheetView tabSelected="1" topLeftCell="A4" workbookViewId="0">
      <selection activeCell="K14" sqref="K14"/>
    </sheetView>
  </sheetViews>
  <sheetFormatPr baseColWidth="10" defaultColWidth="9.06640625" defaultRowHeight="14.25" x14ac:dyDescent="0.45"/>
  <cols>
    <col min="1" max="1" width="2.9296875" customWidth="1"/>
    <col min="2" max="2" width="36.53125" bestFit="1" customWidth="1"/>
    <col min="4" max="4" width="6.73046875" bestFit="1" customWidth="1"/>
    <col min="5" max="5" width="9.33203125" bestFit="1" customWidth="1"/>
    <col min="6" max="7" width="11.06640625" bestFit="1" customWidth="1"/>
    <col min="8" max="8" width="15.59765625" bestFit="1" customWidth="1"/>
    <col min="9" max="10" width="11.06640625" bestFit="1" customWidth="1"/>
  </cols>
  <sheetData>
    <row r="1" spans="1:10" ht="14.25" customHeight="1" x14ac:dyDescent="0.45">
      <c r="B1" s="1"/>
      <c r="C1" s="1"/>
      <c r="D1" s="1"/>
      <c r="E1" s="1"/>
      <c r="F1" s="1"/>
      <c r="G1" s="1"/>
      <c r="H1" s="2"/>
      <c r="I1" s="1"/>
      <c r="J1" s="1"/>
    </row>
    <row r="2" spans="1:10" x14ac:dyDescent="0.45">
      <c r="A2" s="3"/>
      <c r="B2" s="4" t="s">
        <v>0</v>
      </c>
      <c r="C2" s="85">
        <v>480</v>
      </c>
      <c r="D2" s="85"/>
      <c r="E2" s="85"/>
      <c r="G2" s="86" t="s">
        <v>1</v>
      </c>
      <c r="H2" s="86"/>
      <c r="I2" s="87">
        <f>(C2*C3)*(1-C4)-75</f>
        <v>8757</v>
      </c>
      <c r="J2" s="87"/>
    </row>
    <row r="3" spans="1:10" x14ac:dyDescent="0.45">
      <c r="B3" s="4" t="s">
        <v>2</v>
      </c>
      <c r="C3" s="85">
        <v>20</v>
      </c>
      <c r="D3" s="85"/>
      <c r="E3" s="85"/>
      <c r="G3" s="86" t="s">
        <v>3</v>
      </c>
      <c r="H3" s="86"/>
      <c r="I3" s="87">
        <f>I4+G43+J43</f>
        <v>8332.850252996639</v>
      </c>
      <c r="J3" s="87"/>
    </row>
    <row r="4" spans="1:10" x14ac:dyDescent="0.45">
      <c r="A4" s="5"/>
      <c r="B4" s="4" t="s">
        <v>4</v>
      </c>
      <c r="C4" s="91">
        <v>0.08</v>
      </c>
      <c r="D4" s="91"/>
      <c r="E4" s="91"/>
      <c r="G4" s="92" t="s">
        <v>5</v>
      </c>
      <c r="H4" s="92"/>
      <c r="I4" s="87">
        <f>F13+G45+G46-G43</f>
        <v>5094.8674299465947</v>
      </c>
      <c r="J4" s="87"/>
    </row>
    <row r="5" spans="1:10" ht="15.4" x14ac:dyDescent="0.45">
      <c r="B5" s="6"/>
      <c r="C5" s="6"/>
      <c r="D5" s="7"/>
      <c r="E5" s="7"/>
      <c r="F5" s="6"/>
      <c r="G5" s="6"/>
      <c r="H5" s="7"/>
      <c r="I5" s="7"/>
      <c r="J5" s="7"/>
    </row>
    <row r="6" spans="1:10" x14ac:dyDescent="0.45">
      <c r="B6" s="8"/>
      <c r="C6" s="9"/>
      <c r="D6" s="9"/>
      <c r="E6" s="10"/>
      <c r="F6" s="9"/>
      <c r="G6" s="9"/>
      <c r="H6" s="93"/>
      <c r="I6" s="93"/>
      <c r="J6" s="94"/>
    </row>
    <row r="7" spans="1:10" ht="9.75" customHeight="1" x14ac:dyDescent="0.45">
      <c r="B7" s="11"/>
      <c r="C7" s="12"/>
      <c r="D7" s="12"/>
      <c r="E7" s="12"/>
      <c r="F7" s="12"/>
      <c r="G7" s="12"/>
      <c r="H7" s="13"/>
      <c r="I7" s="13"/>
      <c r="J7" s="14"/>
    </row>
    <row r="8" spans="1:10" ht="15.4" x14ac:dyDescent="0.45">
      <c r="B8" s="15" t="s">
        <v>6</v>
      </c>
      <c r="C8" s="16"/>
      <c r="D8" s="17">
        <v>151.66999999999999</v>
      </c>
      <c r="E8" s="18">
        <f>F8/D8</f>
        <v>24.790663941451839</v>
      </c>
      <c r="F8" s="19">
        <v>3760</v>
      </c>
      <c r="G8" s="20"/>
      <c r="H8" s="21" t="s">
        <v>7</v>
      </c>
      <c r="I8" s="22">
        <v>3428</v>
      </c>
      <c r="J8" s="23"/>
    </row>
    <row r="9" spans="1:10" ht="15.4" x14ac:dyDescent="0.45">
      <c r="B9" s="24" t="s">
        <v>8</v>
      </c>
      <c r="C9" s="16"/>
      <c r="D9" s="25">
        <v>32</v>
      </c>
      <c r="E9" s="22">
        <f>E8*1.25</f>
        <v>30.988329926814799</v>
      </c>
      <c r="F9" s="22">
        <f>D9*E9</f>
        <v>991.62655765807358</v>
      </c>
      <c r="G9" s="20"/>
      <c r="H9" s="21" t="s">
        <v>9</v>
      </c>
      <c r="I9" s="22">
        <f>D8+D9+D10</f>
        <v>191.67</v>
      </c>
      <c r="J9" s="23"/>
    </row>
    <row r="10" spans="1:10" ht="15.4" x14ac:dyDescent="0.45">
      <c r="B10" s="24" t="s">
        <v>10</v>
      </c>
      <c r="C10" s="16"/>
      <c r="D10" s="25">
        <v>8</v>
      </c>
      <c r="E10" s="22">
        <f>E8*1.5</f>
        <v>37.185995912177759</v>
      </c>
      <c r="F10" s="22">
        <f>D10*E10</f>
        <v>297.48796729742207</v>
      </c>
      <c r="G10" s="20"/>
      <c r="H10" s="21" t="s">
        <v>11</v>
      </c>
      <c r="I10" s="22">
        <v>10.57</v>
      </c>
      <c r="J10" s="23"/>
    </row>
    <row r="11" spans="1:10" ht="15.4" x14ac:dyDescent="0.45">
      <c r="B11" s="24"/>
      <c r="C11" s="16"/>
      <c r="D11" s="26"/>
      <c r="E11" s="22">
        <v>9.4</v>
      </c>
      <c r="F11" s="22">
        <f>D11*E11</f>
        <v>0</v>
      </c>
      <c r="G11" s="20"/>
      <c r="H11" s="21" t="s">
        <v>12</v>
      </c>
      <c r="I11" s="22">
        <f>(D8+D9+D10)*I10</f>
        <v>2025.9519</v>
      </c>
      <c r="J11" s="23"/>
    </row>
    <row r="12" spans="1:10" ht="15.4" x14ac:dyDescent="0.45">
      <c r="B12" s="15" t="s">
        <v>13</v>
      </c>
      <c r="C12" s="27"/>
      <c r="D12" s="27"/>
      <c r="E12" s="28"/>
      <c r="F12" s="29">
        <f>SUM(F8:F11)</f>
        <v>5049.1145249554957</v>
      </c>
      <c r="G12" s="20"/>
      <c r="H12" s="21" t="s">
        <v>14</v>
      </c>
      <c r="I12" s="30">
        <f>F12/5</f>
        <v>1009.8229049910991</v>
      </c>
      <c r="J12" s="23"/>
    </row>
    <row r="13" spans="1:10" ht="15.4" x14ac:dyDescent="0.45">
      <c r="B13" s="15" t="s">
        <v>15</v>
      </c>
      <c r="C13" s="27"/>
      <c r="D13" s="27"/>
      <c r="E13" s="27"/>
      <c r="F13" s="30">
        <f>F12+I12</f>
        <v>6058.9374299465944</v>
      </c>
      <c r="G13" s="20"/>
      <c r="H13" s="31" t="s">
        <v>16</v>
      </c>
      <c r="I13" s="30">
        <f>F8+F9+F10</f>
        <v>5049.1145249554957</v>
      </c>
      <c r="J13" s="23"/>
    </row>
    <row r="14" spans="1:10" x14ac:dyDescent="0.45">
      <c r="B14" s="32"/>
      <c r="C14" s="33"/>
      <c r="D14" s="33"/>
      <c r="E14" s="33"/>
      <c r="F14" s="34"/>
      <c r="G14" s="35"/>
      <c r="H14" s="35"/>
      <c r="I14" s="35"/>
      <c r="J14" s="36"/>
    </row>
    <row r="15" spans="1:10" x14ac:dyDescent="0.45">
      <c r="B15" s="37"/>
      <c r="C15" s="38"/>
      <c r="D15" s="38"/>
      <c r="E15" s="38"/>
      <c r="F15" s="39"/>
      <c r="G15" s="9"/>
      <c r="H15" s="9"/>
      <c r="I15" s="9"/>
      <c r="J15" s="10"/>
    </row>
    <row r="16" spans="1:10" ht="10.5" customHeight="1" x14ac:dyDescent="0.45">
      <c r="B16" s="40"/>
      <c r="C16" s="41"/>
      <c r="D16" s="41"/>
      <c r="E16" s="41"/>
      <c r="F16" s="42"/>
      <c r="G16" s="43"/>
      <c r="H16" s="43"/>
      <c r="I16" s="43"/>
      <c r="J16" s="44"/>
    </row>
    <row r="17" spans="2:10" x14ac:dyDescent="0.45">
      <c r="B17" s="95" t="s">
        <v>17</v>
      </c>
      <c r="C17" s="96"/>
      <c r="D17" s="97"/>
      <c r="E17" s="101" t="s">
        <v>18</v>
      </c>
      <c r="F17" s="102"/>
      <c r="G17" s="103"/>
      <c r="H17" s="101" t="s">
        <v>19</v>
      </c>
      <c r="I17" s="102"/>
      <c r="J17" s="103"/>
    </row>
    <row r="18" spans="2:10" x14ac:dyDescent="0.45">
      <c r="B18" s="98"/>
      <c r="C18" s="99"/>
      <c r="D18" s="100"/>
      <c r="E18" s="45" t="s">
        <v>20</v>
      </c>
      <c r="F18" s="45" t="s">
        <v>4</v>
      </c>
      <c r="G18" s="45" t="s">
        <v>21</v>
      </c>
      <c r="H18" s="45" t="s">
        <v>20</v>
      </c>
      <c r="I18" s="45" t="s">
        <v>4</v>
      </c>
      <c r="J18" s="45" t="s">
        <v>21</v>
      </c>
    </row>
    <row r="19" spans="2:10" x14ac:dyDescent="0.45">
      <c r="B19" s="46"/>
      <c r="C19" s="47"/>
      <c r="D19" s="48"/>
      <c r="E19" s="49"/>
      <c r="F19" s="50"/>
      <c r="G19" s="51"/>
      <c r="H19" s="49"/>
      <c r="I19" s="52"/>
      <c r="J19" s="53"/>
    </row>
    <row r="20" spans="2:10" x14ac:dyDescent="0.45">
      <c r="B20" s="104" t="s">
        <v>22</v>
      </c>
      <c r="C20" s="105"/>
      <c r="D20" s="106"/>
      <c r="E20" s="54"/>
      <c r="F20" s="55"/>
      <c r="G20" s="56"/>
      <c r="H20" s="54"/>
      <c r="I20" s="57"/>
      <c r="J20" s="58"/>
    </row>
    <row r="21" spans="2:10" x14ac:dyDescent="0.45">
      <c r="B21" s="88" t="s">
        <v>23</v>
      </c>
      <c r="C21" s="89"/>
      <c r="D21" s="90"/>
      <c r="E21" s="54"/>
      <c r="F21" s="55"/>
      <c r="G21" s="56"/>
      <c r="H21" s="54">
        <f>$F$12</f>
        <v>5049.1145249554957</v>
      </c>
      <c r="I21" s="55">
        <f>IF($F$12&gt;$I$9*10.17*2.5, 13%, 7%)</f>
        <v>0.13</v>
      </c>
      <c r="J21" s="59">
        <f>H21*I21</f>
        <v>656.38488824421449</v>
      </c>
    </row>
    <row r="22" spans="2:10" x14ac:dyDescent="0.45">
      <c r="B22" s="60" t="s">
        <v>24</v>
      </c>
      <c r="C22" s="61"/>
      <c r="D22" s="62"/>
      <c r="E22" s="54"/>
      <c r="F22" s="55"/>
      <c r="G22" s="56"/>
      <c r="H22" s="54">
        <f>IF($F$12&gt;$I$8, $I$8, $F$12)</f>
        <v>3428</v>
      </c>
      <c r="I22" s="55">
        <v>1.4999999999999999E-2</v>
      </c>
      <c r="J22" s="63">
        <f>(H22*I22)+(E30*1.13%)</f>
        <v>69.73859413199709</v>
      </c>
    </row>
    <row r="23" spans="2:10" x14ac:dyDescent="0.45">
      <c r="B23" s="60" t="s">
        <v>25</v>
      </c>
      <c r="C23" s="61"/>
      <c r="D23" s="62"/>
      <c r="E23" s="54">
        <f>$I$8</f>
        <v>3428</v>
      </c>
      <c r="F23" s="64">
        <v>1.04E-2</v>
      </c>
      <c r="G23" s="56">
        <f>E23*F23</f>
        <v>35.651199999999996</v>
      </c>
      <c r="H23" s="54">
        <f>I8</f>
        <v>3428</v>
      </c>
      <c r="I23" s="55">
        <v>1.04E-2</v>
      </c>
      <c r="J23" s="63">
        <f>H23*I23</f>
        <v>35.651199999999996</v>
      </c>
    </row>
    <row r="24" spans="2:10" x14ac:dyDescent="0.45">
      <c r="B24" s="104" t="s">
        <v>26</v>
      </c>
      <c r="C24" s="105"/>
      <c r="D24" s="106"/>
      <c r="E24" s="54"/>
      <c r="F24" s="55"/>
      <c r="G24" s="56"/>
      <c r="H24" s="54">
        <f>$F$12</f>
        <v>5049.1145249554957</v>
      </c>
      <c r="I24" s="55">
        <v>8.9999999999999993E-3</v>
      </c>
      <c r="J24" s="63">
        <f>H24*I24</f>
        <v>45.442030724599455</v>
      </c>
    </row>
    <row r="25" spans="2:10" x14ac:dyDescent="0.45">
      <c r="B25" s="104" t="s">
        <v>27</v>
      </c>
      <c r="C25" s="105"/>
      <c r="D25" s="106"/>
      <c r="E25" s="54"/>
      <c r="F25" s="55"/>
      <c r="G25" s="56"/>
      <c r="H25" s="54"/>
      <c r="I25" s="55"/>
      <c r="J25" s="63"/>
    </row>
    <row r="26" spans="2:10" x14ac:dyDescent="0.45">
      <c r="B26" s="88" t="s">
        <v>28</v>
      </c>
      <c r="C26" s="89"/>
      <c r="D26" s="90"/>
      <c r="E26" s="54">
        <f>IF($F$12&gt;$I$8, $I$8, $F$12)</f>
        <v>3428</v>
      </c>
      <c r="F26" s="55">
        <v>6.9000000000000006E-2</v>
      </c>
      <c r="G26" s="56">
        <f t="shared" ref="G26:G30" si="0">E26*F26</f>
        <v>236.53200000000001</v>
      </c>
      <c r="H26" s="54">
        <f>IF($F$12&gt;$I$8, $I$8, $F$12)</f>
        <v>3428</v>
      </c>
      <c r="I26" s="55">
        <v>8.5500000000000007E-2</v>
      </c>
      <c r="J26" s="63">
        <f t="shared" ref="J26:J31" si="1">H26*I26</f>
        <v>293.09399999999999</v>
      </c>
    </row>
    <row r="27" spans="2:10" x14ac:dyDescent="0.45">
      <c r="B27" s="88" t="s">
        <v>29</v>
      </c>
      <c r="C27" s="89"/>
      <c r="D27" s="90"/>
      <c r="E27" s="54">
        <f>$F$12</f>
        <v>5049.1145249554957</v>
      </c>
      <c r="F27" s="55">
        <v>4.0000000000000001E-3</v>
      </c>
      <c r="G27" s="56">
        <f t="shared" si="0"/>
        <v>20.196458099821982</v>
      </c>
      <c r="H27" s="54">
        <f>$F$12</f>
        <v>5049.1145249554957</v>
      </c>
      <c r="I27" s="55">
        <v>1.9E-2</v>
      </c>
      <c r="J27" s="63">
        <f t="shared" si="1"/>
        <v>95.933175974154409</v>
      </c>
    </row>
    <row r="28" spans="2:10" x14ac:dyDescent="0.45">
      <c r="B28" s="88" t="s">
        <v>30</v>
      </c>
      <c r="C28" s="89"/>
      <c r="D28" s="90"/>
      <c r="E28" s="54">
        <f>IF($F$12&gt;$I$8, $F$12, 0)</f>
        <v>5049.1145249554957</v>
      </c>
      <c r="F28" s="55">
        <v>1.4E-3</v>
      </c>
      <c r="G28" s="56">
        <f t="shared" si="0"/>
        <v>7.0687603349376937</v>
      </c>
      <c r="H28" s="54">
        <f>IF($F$12&gt;$I$8, $F$12, 0)</f>
        <v>5049.1145249554957</v>
      </c>
      <c r="I28" s="55">
        <v>2.0999999999999999E-3</v>
      </c>
      <c r="J28" s="63">
        <f t="shared" si="1"/>
        <v>10.603140502406541</v>
      </c>
    </row>
    <row r="29" spans="2:10" x14ac:dyDescent="0.45">
      <c r="B29" s="88" t="s">
        <v>31</v>
      </c>
      <c r="C29" s="89"/>
      <c r="D29" s="90"/>
      <c r="E29" s="54">
        <f>IF($F$12&gt;$I$8, $I$8, $F$12)</f>
        <v>3428</v>
      </c>
      <c r="F29" s="55">
        <v>4.0099999999999997E-2</v>
      </c>
      <c r="G29" s="56">
        <f t="shared" si="0"/>
        <v>137.46279999999999</v>
      </c>
      <c r="H29" s="54">
        <f>IF($F$12&gt;$I$8, $I$8, $F$12)</f>
        <v>3428</v>
      </c>
      <c r="I29" s="55">
        <v>6.0100000000000001E-2</v>
      </c>
      <c r="J29" s="63">
        <f t="shared" si="1"/>
        <v>206.02279999999999</v>
      </c>
    </row>
    <row r="30" spans="2:10" x14ac:dyDescent="0.45">
      <c r="B30" s="88" t="s">
        <v>32</v>
      </c>
      <c r="C30" s="89"/>
      <c r="D30" s="90"/>
      <c r="E30" s="54">
        <f>IF($F$12&gt;$I$8, $F$12-$I$8, 0)</f>
        <v>1621.1145249554957</v>
      </c>
      <c r="F30" s="55">
        <v>9.7199999999999995E-2</v>
      </c>
      <c r="G30" s="56">
        <f t="shared" si="0"/>
        <v>157.57233182567415</v>
      </c>
      <c r="H30" s="54">
        <f>IF($F$12&gt;$I$8, $F$12-$I$8, 0)</f>
        <v>1621.1145249554957</v>
      </c>
      <c r="I30" s="55">
        <v>0.1457</v>
      </c>
      <c r="J30" s="63">
        <f t="shared" si="1"/>
        <v>236.19638628601572</v>
      </c>
    </row>
    <row r="31" spans="2:10" x14ac:dyDescent="0.45">
      <c r="B31" s="104" t="s">
        <v>33</v>
      </c>
      <c r="C31" s="105"/>
      <c r="D31" s="106"/>
      <c r="E31" s="54"/>
      <c r="F31" s="55"/>
      <c r="G31" s="56"/>
      <c r="H31" s="54">
        <f>$F$12</f>
        <v>5049.1145249554957</v>
      </c>
      <c r="I31" s="55">
        <v>3.4500000000000003E-2</v>
      </c>
      <c r="J31" s="63">
        <f t="shared" si="1"/>
        <v>174.19445111096462</v>
      </c>
    </row>
    <row r="32" spans="2:10" x14ac:dyDescent="0.45">
      <c r="B32" s="104" t="s">
        <v>34</v>
      </c>
      <c r="C32" s="105"/>
      <c r="D32" s="106"/>
      <c r="E32" s="54"/>
      <c r="F32" s="55"/>
      <c r="G32" s="56"/>
      <c r="H32" s="54"/>
      <c r="I32" s="55"/>
      <c r="J32" s="63"/>
    </row>
    <row r="33" spans="2:10" x14ac:dyDescent="0.45">
      <c r="B33" s="60" t="s">
        <v>35</v>
      </c>
      <c r="C33" s="65"/>
      <c r="D33" s="66"/>
      <c r="E33" s="54"/>
      <c r="F33" s="55"/>
      <c r="G33" s="56"/>
      <c r="H33" s="54">
        <f>$F$12</f>
        <v>5049.1145249554957</v>
      </c>
      <c r="I33" s="55">
        <v>4.2000000000000003E-2</v>
      </c>
      <c r="J33" s="63">
        <f>H33*I33</f>
        <v>212.06281004813084</v>
      </c>
    </row>
    <row r="34" spans="2:10" x14ac:dyDescent="0.45">
      <c r="B34" s="88" t="s">
        <v>36</v>
      </c>
      <c r="C34" s="107"/>
      <c r="D34" s="108"/>
      <c r="E34" s="67">
        <f>IF($F$12&gt;$I$8, $F$12-$I$8, 0)</f>
        <v>1621.1145249554957</v>
      </c>
      <c r="F34" s="55">
        <v>2.4000000000000001E-4</v>
      </c>
      <c r="G34" s="56">
        <f>E34*F34</f>
        <v>0.38906748598931895</v>
      </c>
      <c r="H34" s="54">
        <f>IF($F$12&gt;$I$8, $F$12-$I$8, 0)</f>
        <v>1621.1145249554957</v>
      </c>
      <c r="I34" s="55">
        <v>3.6000000000000002E-4</v>
      </c>
      <c r="J34" s="63">
        <f>H34*I34</f>
        <v>0.58360122898397848</v>
      </c>
    </row>
    <row r="35" spans="2:10" x14ac:dyDescent="0.45">
      <c r="B35" s="88" t="s">
        <v>36</v>
      </c>
      <c r="C35" s="89"/>
      <c r="D35" s="90"/>
      <c r="E35" s="67">
        <f>IF($F$12&gt;$I$8, $I$8, $F$12)</f>
        <v>3428</v>
      </c>
      <c r="F35" s="55">
        <v>2.4000000000000001E-4</v>
      </c>
      <c r="G35" s="56">
        <f>E35*F35</f>
        <v>0.82272000000000001</v>
      </c>
      <c r="H35" s="54">
        <f>IF($F$12&gt;$I$8, $I$8, $F$12)</f>
        <v>3428</v>
      </c>
      <c r="I35" s="55">
        <v>3.6000000000000002E-4</v>
      </c>
      <c r="J35" s="63">
        <f>H35*I35</f>
        <v>1.2340800000000001</v>
      </c>
    </row>
    <row r="36" spans="2:10" x14ac:dyDescent="0.45">
      <c r="B36" s="104" t="s">
        <v>37</v>
      </c>
      <c r="C36" s="105"/>
      <c r="D36" s="106"/>
      <c r="E36" s="67"/>
      <c r="F36" s="55"/>
      <c r="G36" s="56"/>
      <c r="H36" s="54"/>
      <c r="I36" s="55"/>
      <c r="J36" s="63">
        <f>(F12*0.032)</f>
        <v>161.57166479857585</v>
      </c>
    </row>
    <row r="37" spans="2:10" x14ac:dyDescent="0.45">
      <c r="B37" s="104" t="s">
        <v>38</v>
      </c>
      <c r="C37" s="105"/>
      <c r="D37" s="106"/>
      <c r="E37" s="54">
        <f>($F$12*0.9825)+$I$12+$J$22+$J$23</f>
        <v>6075.9677198918707</v>
      </c>
      <c r="F37" s="55">
        <v>6.8000000000000005E-2</v>
      </c>
      <c r="G37" s="56">
        <f>E37*F37</f>
        <v>413.16580495264725</v>
      </c>
      <c r="H37" s="54"/>
      <c r="I37" s="57"/>
      <c r="J37" s="63"/>
    </row>
    <row r="38" spans="2:10" x14ac:dyDescent="0.45">
      <c r="B38" s="104" t="s">
        <v>39</v>
      </c>
      <c r="C38" s="105"/>
      <c r="D38" s="106"/>
      <c r="E38" s="54">
        <f>($F$12*0.9825)+$I$12+$J$22+$J$23</f>
        <v>6075.9677198918707</v>
      </c>
      <c r="F38" s="55">
        <v>2.9000000000000001E-2</v>
      </c>
      <c r="G38" s="56">
        <f>E38*F38</f>
        <v>176.20306387686426</v>
      </c>
      <c r="H38" s="54"/>
      <c r="I38" s="57"/>
      <c r="J38" s="58"/>
    </row>
    <row r="39" spans="2:10" x14ac:dyDescent="0.45">
      <c r="B39" s="88" t="s">
        <v>40</v>
      </c>
      <c r="C39" s="89"/>
      <c r="D39" s="90"/>
      <c r="E39" s="54">
        <f>F9+F10</f>
        <v>1289.1145249554957</v>
      </c>
      <c r="F39" s="55">
        <v>0.11310000000000001</v>
      </c>
      <c r="G39" s="56">
        <f>-E39*F39</f>
        <v>-145.79885277246657</v>
      </c>
      <c r="H39" s="54"/>
      <c r="I39" s="57"/>
      <c r="J39" s="58"/>
    </row>
    <row r="40" spans="2:10" ht="15.4" x14ac:dyDescent="0.45">
      <c r="B40" s="68"/>
      <c r="C40" s="65"/>
      <c r="D40" s="66"/>
      <c r="E40" s="54"/>
      <c r="F40" s="69"/>
      <c r="G40" s="56"/>
      <c r="H40" s="54"/>
      <c r="I40" s="69"/>
      <c r="J40" s="70"/>
    </row>
    <row r="41" spans="2:10" ht="15.4" x14ac:dyDescent="0.45">
      <c r="B41" s="88" t="s">
        <v>41</v>
      </c>
      <c r="C41" s="89"/>
      <c r="D41" s="90"/>
      <c r="E41" s="71"/>
      <c r="F41" s="69"/>
      <c r="G41" s="56">
        <f>G23</f>
        <v>35.651199999999996</v>
      </c>
      <c r="H41" s="72"/>
      <c r="I41" s="69"/>
      <c r="J41" s="70"/>
    </row>
    <row r="42" spans="2:10" x14ac:dyDescent="0.45">
      <c r="B42" s="88" t="s">
        <v>42</v>
      </c>
      <c r="C42" s="89"/>
      <c r="D42" s="90"/>
      <c r="E42" s="73"/>
      <c r="F42" s="73"/>
      <c r="G42" s="56">
        <f>F13-G43+G41+G38-F9-F10</f>
        <v>3942.4071688679633</v>
      </c>
      <c r="H42" s="54"/>
      <c r="I42" s="57"/>
      <c r="J42" s="58"/>
    </row>
    <row r="43" spans="2:10" ht="15.4" x14ac:dyDescent="0.45">
      <c r="B43" s="109" t="s">
        <v>43</v>
      </c>
      <c r="C43" s="110"/>
      <c r="D43" s="111"/>
      <c r="E43" s="54"/>
      <c r="F43" s="55"/>
      <c r="G43" s="70">
        <f>ROUND(SUM(G21:G39),2)</f>
        <v>1039.27</v>
      </c>
      <c r="H43" s="54"/>
      <c r="I43" s="57"/>
      <c r="J43" s="70">
        <f>SUM(J21:J38)</f>
        <v>2198.712823050043</v>
      </c>
    </row>
    <row r="44" spans="2:10" ht="15.4" x14ac:dyDescent="0.45">
      <c r="B44" s="74"/>
      <c r="C44" s="75"/>
      <c r="D44" s="76"/>
      <c r="E44" s="54"/>
      <c r="F44" s="55"/>
      <c r="G44" s="70"/>
      <c r="H44" s="54"/>
      <c r="I44" s="57"/>
      <c r="J44" s="58"/>
    </row>
    <row r="45" spans="2:10" x14ac:dyDescent="0.45">
      <c r="B45" s="60" t="s">
        <v>44</v>
      </c>
      <c r="C45" s="61"/>
      <c r="D45" s="62"/>
      <c r="E45" s="54">
        <f>E11</f>
        <v>9.4</v>
      </c>
      <c r="F45" s="84"/>
      <c r="G45" s="56">
        <f>E45*F45</f>
        <v>0</v>
      </c>
      <c r="H45" s="54"/>
      <c r="I45" s="54"/>
      <c r="J45" s="58"/>
    </row>
    <row r="46" spans="2:10" x14ac:dyDescent="0.45">
      <c r="B46" s="88" t="s">
        <v>45</v>
      </c>
      <c r="C46" s="89"/>
      <c r="D46" s="90"/>
      <c r="E46" s="67"/>
      <c r="F46" s="77"/>
      <c r="G46" s="78">
        <v>75.2</v>
      </c>
      <c r="H46" s="54"/>
      <c r="I46" s="57"/>
      <c r="J46" s="58"/>
    </row>
    <row r="47" spans="2:10" x14ac:dyDescent="0.45">
      <c r="B47" s="112"/>
      <c r="C47" s="113"/>
      <c r="D47" s="114"/>
      <c r="E47" s="79"/>
      <c r="F47" s="80"/>
      <c r="G47" s="81"/>
      <c r="H47" s="79"/>
      <c r="I47" s="80"/>
      <c r="J47" s="81"/>
    </row>
    <row r="49" spans="2:10" ht="20.65" x14ac:dyDescent="0.6">
      <c r="B49" s="82"/>
      <c r="C49" s="82"/>
      <c r="D49" s="82"/>
      <c r="G49" s="115" t="s">
        <v>46</v>
      </c>
      <c r="H49" s="115"/>
      <c r="I49" s="115"/>
      <c r="J49" s="83">
        <f>IF($G$46&gt;75.2, $I$4-$G$46, $I$4)</f>
        <v>5094.8674299465947</v>
      </c>
    </row>
    <row r="50" spans="2:10" ht="20.65" x14ac:dyDescent="0.6">
      <c r="B50" s="82"/>
      <c r="C50" s="82"/>
      <c r="D50" s="82"/>
      <c r="H50" s="82"/>
      <c r="I50" s="82"/>
      <c r="J50" s="82"/>
    </row>
  </sheetData>
  <mergeCells count="36">
    <mergeCell ref="B42:D42"/>
    <mergeCell ref="B43:D43"/>
    <mergeCell ref="B46:D46"/>
    <mergeCell ref="B47:D47"/>
    <mergeCell ref="G49:I49"/>
    <mergeCell ref="B41:D41"/>
    <mergeCell ref="B28:D28"/>
    <mergeCell ref="B29:D29"/>
    <mergeCell ref="B30:D30"/>
    <mergeCell ref="B31:D31"/>
    <mergeCell ref="B32:D32"/>
    <mergeCell ref="B34:D34"/>
    <mergeCell ref="B35:D35"/>
    <mergeCell ref="B36:D36"/>
    <mergeCell ref="B37:D37"/>
    <mergeCell ref="B38:D38"/>
    <mergeCell ref="B39:D39"/>
    <mergeCell ref="B27:D27"/>
    <mergeCell ref="C4:E4"/>
    <mergeCell ref="G4:H4"/>
    <mergeCell ref="I4:J4"/>
    <mergeCell ref="H6:J6"/>
    <mergeCell ref="B17:D18"/>
    <mergeCell ref="E17:G17"/>
    <mergeCell ref="H17:J17"/>
    <mergeCell ref="B20:D20"/>
    <mergeCell ref="B21:D21"/>
    <mergeCell ref="B24:D24"/>
    <mergeCell ref="B25:D25"/>
    <mergeCell ref="B26:D26"/>
    <mergeCell ref="C2:E2"/>
    <mergeCell ref="G2:H2"/>
    <mergeCell ref="I2:J2"/>
    <mergeCell ref="C3:E3"/>
    <mergeCell ref="G3:H3"/>
    <mergeCell ref="I3:J3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Youssef MISSAOUI</dc:creator>
  <cp:lastModifiedBy>Youssef MISSAOUI</cp:lastModifiedBy>
  <dcterms:created xsi:type="dcterms:W3CDTF">2015-06-05T18:19:34Z</dcterms:created>
  <dcterms:modified xsi:type="dcterms:W3CDTF">2022-01-11T12:51:08Z</dcterms:modified>
</cp:coreProperties>
</file>